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480" yWindow="45" windowWidth="11355" windowHeight="8445" tabRatio="666" activeTab="7"/>
  </bookViews>
  <sheets>
    <sheet name="MM" sheetId="4" r:id="rId1"/>
    <sheet name="finance" sheetId="12" r:id="rId2"/>
    <sheet name="workshop" sheetId="8" r:id="rId3"/>
    <sheet name="COMMUNITY SERV" sheetId="5" r:id="rId4"/>
    <sheet name="EEM" sheetId="11" r:id="rId5"/>
    <sheet name="CEM" sheetId="7" r:id="rId6"/>
    <sheet name="MDC" sheetId="6" r:id="rId7"/>
    <sheet name="BUDGET" sheetId="9" r:id="rId8"/>
    <sheet name="CALC" sheetId="2" r:id="rId9"/>
    <sheet name="1-10" sheetId="16" r:id="rId10"/>
    <sheet name="new veh 2012" sheetId="14" r:id="rId11"/>
    <sheet name="Sheet1" sheetId="17" r:id="rId12"/>
  </sheets>
  <definedNames>
    <definedName name="_xlnm._FilterDatabase" localSheetId="9" hidden="1">'1-10'!$A$1:$BA$100</definedName>
    <definedName name="_xlnm._FilterDatabase" localSheetId="10" hidden="1">'new veh 2012'!$A$1:$J$95</definedName>
    <definedName name="_xlnm.Print_Area" localSheetId="5">CEM!$A$1:$R$140</definedName>
    <definedName name="_xlnm.Print_Area" localSheetId="3">'COMMUNITY SERV'!$A$1:$R$143</definedName>
    <definedName name="_xlnm.Print_Area" localSheetId="4">EEM!$A$1:$R$102</definedName>
    <definedName name="_xlnm.Print_Area" localSheetId="1">finance!$A$1:$R$16</definedName>
    <definedName name="_xlnm.Print_Area" localSheetId="6">MDC!$A$1:$R$100</definedName>
    <definedName name="_xlnm.Print_Area" localSheetId="0">MM!$A$1:$R$38</definedName>
    <definedName name="_xlnm.Print_Area" localSheetId="2">workshop!$A$1:$R$22</definedName>
  </definedNames>
  <calcPr calcId="124519"/>
</workbook>
</file>

<file path=xl/calcChain.xml><?xml version="1.0" encoding="utf-8"?>
<calcChain xmlns="http://schemas.openxmlformats.org/spreadsheetml/2006/main">
  <c r="J93" i="6"/>
  <c r="I93"/>
  <c r="I87"/>
  <c r="I48"/>
  <c r="I42"/>
  <c r="I36"/>
  <c r="I35"/>
  <c r="I29"/>
  <c r="I23"/>
  <c r="I22"/>
  <c r="I8"/>
  <c r="I9"/>
  <c r="I10"/>
  <c r="I11"/>
  <c r="I12"/>
  <c r="I13"/>
  <c r="I14"/>
  <c r="I15"/>
  <c r="I16"/>
  <c r="I7"/>
  <c r="I72" i="7"/>
  <c r="I73"/>
  <c r="I74"/>
  <c r="I71"/>
  <c r="I66"/>
  <c r="I65"/>
  <c r="I60"/>
  <c r="I59"/>
  <c r="I54"/>
  <c r="I53"/>
  <c r="I48"/>
  <c r="I47"/>
  <c r="I42"/>
  <c r="I37"/>
  <c r="I32"/>
  <c r="I27"/>
  <c r="I26"/>
  <c r="I21"/>
  <c r="I16"/>
  <c r="I8"/>
  <c r="I9"/>
  <c r="I10"/>
  <c r="I11"/>
  <c r="I7"/>
  <c r="I85" i="11"/>
  <c r="I78"/>
  <c r="I77"/>
  <c r="I72"/>
  <c r="I66"/>
  <c r="I65"/>
  <c r="I58"/>
  <c r="I59"/>
  <c r="I60"/>
  <c r="I57"/>
  <c r="I25"/>
  <c r="I26"/>
  <c r="I27"/>
  <c r="I28"/>
  <c r="I29"/>
  <c r="I30"/>
  <c r="I31"/>
  <c r="I32"/>
  <c r="I33"/>
  <c r="I34"/>
  <c r="I35"/>
  <c r="I36"/>
  <c r="I37"/>
  <c r="I24"/>
  <c r="I15"/>
  <c r="I16"/>
  <c r="I14"/>
  <c r="I7"/>
  <c r="I136" i="5"/>
  <c r="I129"/>
  <c r="I128"/>
  <c r="I121"/>
  <c r="I114"/>
  <c r="I107"/>
  <c r="I108"/>
  <c r="I106"/>
  <c r="I15" i="8"/>
  <c r="I8"/>
  <c r="J21"/>
  <c r="K69" i="5"/>
  <c r="J55" i="7"/>
  <c r="J54"/>
  <c r="J53"/>
  <c r="J60"/>
  <c r="J59"/>
  <c r="J61" s="1"/>
  <c r="J67"/>
  <c r="J66"/>
  <c r="J65"/>
  <c r="J75"/>
  <c r="J72"/>
  <c r="J73"/>
  <c r="J74"/>
  <c r="J71"/>
  <c r="J87" i="6" l="1"/>
  <c r="J43" i="7"/>
  <c r="J49"/>
  <c r="J48"/>
  <c r="J47"/>
  <c r="J37"/>
  <c r="J38" s="1"/>
  <c r="J33"/>
  <c r="J32"/>
  <c r="J27"/>
  <c r="J26"/>
  <c r="J28" s="1"/>
  <c r="J21"/>
  <c r="J22" s="1"/>
  <c r="J16"/>
  <c r="J17" s="1"/>
  <c r="J9"/>
  <c r="J12" s="1"/>
  <c r="J117" s="1"/>
  <c r="J127" s="1"/>
  <c r="J7"/>
  <c r="J85" i="11"/>
  <c r="H33" i="17"/>
  <c r="H32"/>
  <c r="H31"/>
  <c r="H30"/>
  <c r="H29"/>
  <c r="H28"/>
  <c r="H27"/>
  <c r="H26"/>
  <c r="H19"/>
  <c r="H18"/>
  <c r="H17"/>
  <c r="H16"/>
  <c r="H15"/>
  <c r="H14"/>
  <c r="H13"/>
  <c r="H12"/>
  <c r="H11"/>
  <c r="H10"/>
  <c r="H9"/>
  <c r="C18" i="9" l="1"/>
  <c r="E85" i="11"/>
  <c r="E74" i="7"/>
  <c r="E73"/>
  <c r="E72"/>
  <c r="E71"/>
  <c r="E66"/>
  <c r="E65"/>
  <c r="F38" i="9"/>
  <c r="F40" s="1"/>
  <c r="D38"/>
  <c r="D40" s="1"/>
  <c r="C38"/>
  <c r="C42" s="1"/>
  <c r="I36"/>
  <c r="H36"/>
  <c r="G36"/>
  <c r="F36"/>
  <c r="E36"/>
  <c r="D36"/>
  <c r="C36"/>
  <c r="M61" i="7"/>
  <c r="M55"/>
  <c r="H85" i="11"/>
  <c r="M96" i="16"/>
  <c r="M94"/>
  <c r="P94" s="1"/>
  <c r="C58" i="9"/>
  <c r="D117" i="7"/>
  <c r="L49" i="9"/>
  <c r="L53" s="1"/>
  <c r="L47"/>
  <c r="K87" i="11"/>
  <c r="J87"/>
  <c r="J102" s="1"/>
  <c r="I87"/>
  <c r="H87"/>
  <c r="G87"/>
  <c r="F87"/>
  <c r="D87"/>
  <c r="D102" s="1"/>
  <c r="E87"/>
  <c r="N66" i="7"/>
  <c r="E60"/>
  <c r="N60" s="1"/>
  <c r="E54"/>
  <c r="N54" s="1"/>
  <c r="N74"/>
  <c r="N73"/>
  <c r="K16"/>
  <c r="K17" s="1"/>
  <c r="C33" i="9"/>
  <c r="C31"/>
  <c r="G28"/>
  <c r="F28"/>
  <c r="E28"/>
  <c r="D28"/>
  <c r="C28"/>
  <c r="H26"/>
  <c r="G26"/>
  <c r="F26"/>
  <c r="E26"/>
  <c r="D26"/>
  <c r="C26"/>
  <c r="K47"/>
  <c r="J47"/>
  <c r="I47"/>
  <c r="H47"/>
  <c r="G47"/>
  <c r="F47"/>
  <c r="E47"/>
  <c r="D47"/>
  <c r="C47"/>
  <c r="E58"/>
  <c r="O56"/>
  <c r="N56"/>
  <c r="M56"/>
  <c r="L56"/>
  <c r="K56"/>
  <c r="J56"/>
  <c r="I56"/>
  <c r="H56"/>
  <c r="G56"/>
  <c r="F56"/>
  <c r="E56"/>
  <c r="D56"/>
  <c r="F61"/>
  <c r="E61"/>
  <c r="D61"/>
  <c r="C61"/>
  <c r="L70"/>
  <c r="L68" s="1"/>
  <c r="K70"/>
  <c r="J70"/>
  <c r="I70"/>
  <c r="I68" s="1"/>
  <c r="J68"/>
  <c r="K68"/>
  <c r="C74"/>
  <c r="C72"/>
  <c r="B72" s="1"/>
  <c r="D70"/>
  <c r="D68" s="1"/>
  <c r="C70"/>
  <c r="N66"/>
  <c r="M66"/>
  <c r="L66"/>
  <c r="K66"/>
  <c r="J66"/>
  <c r="I66"/>
  <c r="H66"/>
  <c r="G66"/>
  <c r="F66"/>
  <c r="C16"/>
  <c r="F13"/>
  <c r="D11"/>
  <c r="D9"/>
  <c r="C11"/>
  <c r="C9"/>
  <c r="E7"/>
  <c r="F3"/>
  <c r="E3"/>
  <c r="D3"/>
  <c r="C3"/>
  <c r="F28" i="7"/>
  <c r="G28"/>
  <c r="H28"/>
  <c r="I28"/>
  <c r="L28"/>
  <c r="M21"/>
  <c r="K21"/>
  <c r="G21"/>
  <c r="D21"/>
  <c r="M17"/>
  <c r="L17"/>
  <c r="I17"/>
  <c r="H17"/>
  <c r="G17"/>
  <c r="F17"/>
  <c r="D17"/>
  <c r="D58" i="9" s="1"/>
  <c r="E16" i="7"/>
  <c r="E17" s="1"/>
  <c r="D11"/>
  <c r="D10"/>
  <c r="E10" s="1"/>
  <c r="M10"/>
  <c r="K10"/>
  <c r="M9"/>
  <c r="K9"/>
  <c r="E9"/>
  <c r="M27"/>
  <c r="M28" s="1"/>
  <c r="K27"/>
  <c r="D27"/>
  <c r="E27" s="1"/>
  <c r="F141" i="5"/>
  <c r="G141"/>
  <c r="H141"/>
  <c r="J141"/>
  <c r="L141"/>
  <c r="L63"/>
  <c r="G63"/>
  <c r="H63"/>
  <c r="I63"/>
  <c r="L100" i="6"/>
  <c r="L99"/>
  <c r="L98"/>
  <c r="L97"/>
  <c r="G97"/>
  <c r="G100"/>
  <c r="H100"/>
  <c r="I100"/>
  <c r="J100"/>
  <c r="K100"/>
  <c r="G99"/>
  <c r="H99"/>
  <c r="I99"/>
  <c r="J99"/>
  <c r="K99"/>
  <c r="G98"/>
  <c r="H98"/>
  <c r="I98"/>
  <c r="J98"/>
  <c r="K98"/>
  <c r="F100"/>
  <c r="F99"/>
  <c r="F98"/>
  <c r="F97"/>
  <c r="D100"/>
  <c r="D99"/>
  <c r="D98"/>
  <c r="M42" i="7"/>
  <c r="K42"/>
  <c r="G42"/>
  <c r="M37"/>
  <c r="K37"/>
  <c r="P90" i="16"/>
  <c r="P91"/>
  <c r="P92"/>
  <c r="P93"/>
  <c r="P95"/>
  <c r="P96"/>
  <c r="P97"/>
  <c r="P98"/>
  <c r="P99"/>
  <c r="P100"/>
  <c r="B9" i="9" l="1"/>
  <c r="C40"/>
  <c r="C44"/>
  <c r="F42"/>
  <c r="D42"/>
  <c r="F44"/>
  <c r="D44"/>
  <c r="D125" i="7"/>
  <c r="L51" i="9"/>
  <c r="N85" i="11"/>
  <c r="D63" i="9"/>
  <c r="F63"/>
  <c r="C68"/>
  <c r="C5"/>
  <c r="E5"/>
  <c r="B7"/>
  <c r="B11"/>
  <c r="B13"/>
  <c r="D28" i="7"/>
  <c r="F5" i="9"/>
  <c r="D5"/>
  <c r="N16" i="7"/>
  <c r="N9"/>
  <c r="N10"/>
  <c r="N27"/>
  <c r="N87" i="11" l="1"/>
  <c r="B5" i="9"/>
  <c r="N17" i="7"/>
  <c r="M75"/>
  <c r="L75"/>
  <c r="K75"/>
  <c r="I75"/>
  <c r="H75"/>
  <c r="G75"/>
  <c r="F75"/>
  <c r="D75"/>
  <c r="N72"/>
  <c r="K67"/>
  <c r="I67"/>
  <c r="H67"/>
  <c r="G67"/>
  <c r="F67"/>
  <c r="D67"/>
  <c r="L58" i="9" s="1"/>
  <c r="M67" i="7"/>
  <c r="E67"/>
  <c r="K61"/>
  <c r="I61"/>
  <c r="H61"/>
  <c r="G61"/>
  <c r="F61"/>
  <c r="D61"/>
  <c r="K58" i="9" s="1"/>
  <c r="E59" i="7"/>
  <c r="E61" s="1"/>
  <c r="K55"/>
  <c r="I55"/>
  <c r="H55"/>
  <c r="G55"/>
  <c r="F55"/>
  <c r="D55"/>
  <c r="J58" i="9" s="1"/>
  <c r="E53" i="7"/>
  <c r="E55" s="1"/>
  <c r="E42"/>
  <c r="M38"/>
  <c r="E37"/>
  <c r="K38"/>
  <c r="H38"/>
  <c r="G38"/>
  <c r="F38"/>
  <c r="D38"/>
  <c r="G58" i="9" s="1"/>
  <c r="K26" i="7"/>
  <c r="K28" s="1"/>
  <c r="E7"/>
  <c r="K66" i="11"/>
  <c r="K65"/>
  <c r="K58"/>
  <c r="K59"/>
  <c r="K60"/>
  <c r="K57"/>
  <c r="K15"/>
  <c r="K16"/>
  <c r="K14"/>
  <c r="K136" i="5"/>
  <c r="K129"/>
  <c r="K128"/>
  <c r="K100"/>
  <c r="K89"/>
  <c r="K90"/>
  <c r="K91"/>
  <c r="K92"/>
  <c r="K93"/>
  <c r="K94"/>
  <c r="K88"/>
  <c r="K57"/>
  <c r="K45"/>
  <c r="K46"/>
  <c r="K47"/>
  <c r="K48"/>
  <c r="K49"/>
  <c r="K44"/>
  <c r="K31"/>
  <c r="K24"/>
  <c r="K23"/>
  <c r="K16"/>
  <c r="K15"/>
  <c r="K14"/>
  <c r="K9" i="12"/>
  <c r="P89" i="16"/>
  <c r="N89"/>
  <c r="H89"/>
  <c r="P88"/>
  <c r="N88"/>
  <c r="H88"/>
  <c r="P87"/>
  <c r="N87"/>
  <c r="H87"/>
  <c r="R86"/>
  <c r="P86"/>
  <c r="N86"/>
  <c r="H86"/>
  <c r="R85"/>
  <c r="P85"/>
  <c r="N85"/>
  <c r="H85"/>
  <c r="P84"/>
  <c r="N84"/>
  <c r="H84"/>
  <c r="P83"/>
  <c r="N83"/>
  <c r="H83"/>
  <c r="P82"/>
  <c r="N82"/>
  <c r="H82"/>
  <c r="R81"/>
  <c r="K32" i="7" s="1"/>
  <c r="P81" i="16"/>
  <c r="N81"/>
  <c r="H81"/>
  <c r="R80"/>
  <c r="P80"/>
  <c r="N80"/>
  <c r="H80"/>
  <c r="R79"/>
  <c r="P79"/>
  <c r="N79"/>
  <c r="H79"/>
  <c r="R78"/>
  <c r="P78"/>
  <c r="N78"/>
  <c r="H78"/>
  <c r="R77"/>
  <c r="P77"/>
  <c r="N77"/>
  <c r="H77"/>
  <c r="R76"/>
  <c r="P76"/>
  <c r="N76"/>
  <c r="H76"/>
  <c r="R75"/>
  <c r="K114" i="5" s="1"/>
  <c r="P75" i="16"/>
  <c r="N75"/>
  <c r="H75"/>
  <c r="R74"/>
  <c r="K7" i="11" s="1"/>
  <c r="P74" i="16"/>
  <c r="N74"/>
  <c r="H74"/>
  <c r="R73"/>
  <c r="P73"/>
  <c r="N73"/>
  <c r="H73"/>
  <c r="R72"/>
  <c r="P72"/>
  <c r="N72"/>
  <c r="H72"/>
  <c r="R71"/>
  <c r="K38" i="5" s="1"/>
  <c r="P71" i="16"/>
  <c r="N71"/>
  <c r="H71"/>
  <c r="R70"/>
  <c r="K37" i="5" s="1"/>
  <c r="P70" i="16"/>
  <c r="N70"/>
  <c r="H70"/>
  <c r="R69"/>
  <c r="P69"/>
  <c r="N69"/>
  <c r="H69"/>
  <c r="R68"/>
  <c r="K11" i="7" s="1"/>
  <c r="P68" i="16"/>
  <c r="N68"/>
  <c r="H68"/>
  <c r="R67"/>
  <c r="P67"/>
  <c r="N67"/>
  <c r="H67"/>
  <c r="R66"/>
  <c r="P66"/>
  <c r="N66"/>
  <c r="H66"/>
  <c r="R65"/>
  <c r="P65"/>
  <c r="N65"/>
  <c r="H65"/>
  <c r="R64"/>
  <c r="K108" i="5" s="1"/>
  <c r="P64" i="16"/>
  <c r="N64"/>
  <c r="H64"/>
  <c r="P63"/>
  <c r="N63"/>
  <c r="H63"/>
  <c r="P62"/>
  <c r="N62"/>
  <c r="H62"/>
  <c r="R61"/>
  <c r="P61"/>
  <c r="N61"/>
  <c r="H61"/>
  <c r="R60"/>
  <c r="P60"/>
  <c r="N60"/>
  <c r="H60"/>
  <c r="R59"/>
  <c r="P59"/>
  <c r="N59"/>
  <c r="H59"/>
  <c r="R58"/>
  <c r="P58"/>
  <c r="N58"/>
  <c r="H58"/>
  <c r="R57"/>
  <c r="K9" i="4" s="1"/>
  <c r="P57" i="16"/>
  <c r="N57"/>
  <c r="H57"/>
  <c r="R56"/>
  <c r="P56"/>
  <c r="N56"/>
  <c r="H56"/>
  <c r="R55"/>
  <c r="K7" i="7" s="1"/>
  <c r="P55" i="16"/>
  <c r="N55"/>
  <c r="H55"/>
  <c r="P54"/>
  <c r="N54"/>
  <c r="H54"/>
  <c r="R53"/>
  <c r="P53"/>
  <c r="I38" i="7" s="1"/>
  <c r="N53" i="16"/>
  <c r="H53"/>
  <c r="R52"/>
  <c r="P52"/>
  <c r="N52"/>
  <c r="H52"/>
  <c r="P51"/>
  <c r="N51"/>
  <c r="H51"/>
  <c r="P50"/>
  <c r="N50"/>
  <c r="H50"/>
  <c r="R49"/>
  <c r="P49"/>
  <c r="N49"/>
  <c r="H49"/>
  <c r="P48"/>
  <c r="N48"/>
  <c r="H48"/>
  <c r="P47"/>
  <c r="N47"/>
  <c r="H47"/>
  <c r="P46"/>
  <c r="N46"/>
  <c r="H46"/>
  <c r="P45"/>
  <c r="N45"/>
  <c r="H45"/>
  <c r="P44"/>
  <c r="N44"/>
  <c r="H44"/>
  <c r="R43"/>
  <c r="K72" i="11" s="1"/>
  <c r="P43" i="16"/>
  <c r="N43"/>
  <c r="H43"/>
  <c r="R42"/>
  <c r="K78" i="11" s="1"/>
  <c r="P42" i="16"/>
  <c r="N42"/>
  <c r="H42"/>
  <c r="R41"/>
  <c r="K77" i="11" s="1"/>
  <c r="P41" i="16"/>
  <c r="N41"/>
  <c r="H41"/>
  <c r="P40"/>
  <c r="N40"/>
  <c r="H40"/>
  <c r="P39"/>
  <c r="N39"/>
  <c r="H39"/>
  <c r="P38"/>
  <c r="N38"/>
  <c r="H38"/>
  <c r="P37"/>
  <c r="N37"/>
  <c r="H37"/>
  <c r="P36"/>
  <c r="N36"/>
  <c r="H36"/>
  <c r="P35"/>
  <c r="N35"/>
  <c r="H35"/>
  <c r="R34"/>
  <c r="K121" i="5" s="1"/>
  <c r="P34" i="16"/>
  <c r="N34"/>
  <c r="H34"/>
  <c r="R33"/>
  <c r="K15" i="8" s="1"/>
  <c r="P33" i="16"/>
  <c r="N33"/>
  <c r="H33"/>
  <c r="R32"/>
  <c r="P32"/>
  <c r="N32"/>
  <c r="H32"/>
  <c r="R31"/>
  <c r="P31"/>
  <c r="N31"/>
  <c r="H31"/>
  <c r="P30"/>
  <c r="N30"/>
  <c r="H30"/>
  <c r="P29"/>
  <c r="N29"/>
  <c r="H29"/>
  <c r="P28"/>
  <c r="N28"/>
  <c r="H28"/>
  <c r="R27"/>
  <c r="K16" i="4" s="1"/>
  <c r="P27" i="16"/>
  <c r="N27"/>
  <c r="H27"/>
  <c r="R26"/>
  <c r="K15" i="4" s="1"/>
  <c r="P26" i="16"/>
  <c r="N26"/>
  <c r="H26"/>
  <c r="R25"/>
  <c r="K23" i="4" s="1"/>
  <c r="P25" i="16"/>
  <c r="N25"/>
  <c r="H25"/>
  <c r="R24"/>
  <c r="P24"/>
  <c r="N24"/>
  <c r="H24"/>
  <c r="R23"/>
  <c r="P23"/>
  <c r="N23"/>
  <c r="H23"/>
  <c r="R22"/>
  <c r="P22"/>
  <c r="N22"/>
  <c r="H22"/>
  <c r="R21"/>
  <c r="P21"/>
  <c r="N21"/>
  <c r="H21"/>
  <c r="R20"/>
  <c r="P20"/>
  <c r="N20"/>
  <c r="H20"/>
  <c r="R19"/>
  <c r="P19"/>
  <c r="N19"/>
  <c r="H19"/>
  <c r="R18"/>
  <c r="P18"/>
  <c r="N18"/>
  <c r="H18"/>
  <c r="R17"/>
  <c r="P17"/>
  <c r="N17"/>
  <c r="H17"/>
  <c r="R16"/>
  <c r="K24" i="11" s="1"/>
  <c r="P16" i="16"/>
  <c r="N16"/>
  <c r="H16"/>
  <c r="R15"/>
  <c r="K8" i="8" s="1"/>
  <c r="P15" i="16"/>
  <c r="N15"/>
  <c r="H15"/>
  <c r="R14"/>
  <c r="P14"/>
  <c r="N14"/>
  <c r="H14"/>
  <c r="R13"/>
  <c r="K7" i="5" s="1"/>
  <c r="P13" i="16"/>
  <c r="N13"/>
  <c r="J7" i="5" s="1"/>
  <c r="H13" i="16"/>
  <c r="R12"/>
  <c r="K8" i="4" s="1"/>
  <c r="P12" i="16"/>
  <c r="N12"/>
  <c r="H12"/>
  <c r="R11"/>
  <c r="P11"/>
  <c r="N11"/>
  <c r="H11"/>
  <c r="R10"/>
  <c r="P10"/>
  <c r="N10"/>
  <c r="H10"/>
  <c r="R9"/>
  <c r="P9"/>
  <c r="N9"/>
  <c r="H9"/>
  <c r="R8"/>
  <c r="P8"/>
  <c r="N8"/>
  <c r="H8"/>
  <c r="R7"/>
  <c r="P7"/>
  <c r="N7"/>
  <c r="H7"/>
  <c r="R6"/>
  <c r="P6"/>
  <c r="N6"/>
  <c r="H6"/>
  <c r="R5"/>
  <c r="P5"/>
  <c r="N5"/>
  <c r="H5"/>
  <c r="R4"/>
  <c r="K107" i="5" s="1"/>
  <c r="P4" i="16"/>
  <c r="N4"/>
  <c r="H4"/>
  <c r="R3"/>
  <c r="K106" i="5" s="1"/>
  <c r="P3" i="16"/>
  <c r="N3"/>
  <c r="H3"/>
  <c r="P2"/>
  <c r="N2"/>
  <c r="H2"/>
  <c r="M58" i="9" l="1"/>
  <c r="E75" i="7"/>
  <c r="N71"/>
  <c r="N65"/>
  <c r="N59"/>
  <c r="N53"/>
  <c r="N37"/>
  <c r="N38" s="1"/>
  <c r="N42"/>
  <c r="E38"/>
  <c r="E48" i="6"/>
  <c r="N48" s="1"/>
  <c r="D50"/>
  <c r="H70" i="9" s="1"/>
  <c r="H68" s="1"/>
  <c r="F50" i="6"/>
  <c r="G50"/>
  <c r="H50"/>
  <c r="I50"/>
  <c r="J50"/>
  <c r="K50"/>
  <c r="L50"/>
  <c r="L44"/>
  <c r="K44"/>
  <c r="J44"/>
  <c r="I44"/>
  <c r="H44"/>
  <c r="G44"/>
  <c r="F44"/>
  <c r="D44"/>
  <c r="G74" i="9" s="1"/>
  <c r="G68" s="1"/>
  <c r="E42" i="6"/>
  <c r="E44" s="1"/>
  <c r="L38"/>
  <c r="K38"/>
  <c r="J38"/>
  <c r="I38"/>
  <c r="H38"/>
  <c r="G38"/>
  <c r="F38"/>
  <c r="D38"/>
  <c r="F70" i="9" s="1"/>
  <c r="E36" i="6"/>
  <c r="E35"/>
  <c r="N35" s="1"/>
  <c r="E8"/>
  <c r="N8" s="1"/>
  <c r="E9"/>
  <c r="N9" s="1"/>
  <c r="E10"/>
  <c r="E11"/>
  <c r="E12"/>
  <c r="N12" s="1"/>
  <c r="E13"/>
  <c r="N13" s="1"/>
  <c r="E14"/>
  <c r="N14" s="1"/>
  <c r="L139" i="5"/>
  <c r="K139"/>
  <c r="J139"/>
  <c r="I139"/>
  <c r="H139"/>
  <c r="G139"/>
  <c r="F139"/>
  <c r="D139"/>
  <c r="I38" i="9" s="1"/>
  <c r="N138" i="5"/>
  <c r="P138" s="1"/>
  <c r="E136"/>
  <c r="N136" s="1"/>
  <c r="E107"/>
  <c r="N107" s="1"/>
  <c r="E15"/>
  <c r="N15" s="1"/>
  <c r="E16"/>
  <c r="E7"/>
  <c r="N7" s="1"/>
  <c r="I23" i="4"/>
  <c r="I16"/>
  <c r="I15"/>
  <c r="I9"/>
  <c r="I8"/>
  <c r="I40" i="9" l="1"/>
  <c r="I42"/>
  <c r="I44"/>
  <c r="F68"/>
  <c r="N11" i="6"/>
  <c r="N99" s="1"/>
  <c r="E100"/>
  <c r="N10"/>
  <c r="N75" i="7"/>
  <c r="N67"/>
  <c r="N61"/>
  <c r="N55"/>
  <c r="N42" i="6"/>
  <c r="N44" s="1"/>
  <c r="E38"/>
  <c r="N50"/>
  <c r="E50"/>
  <c r="N36"/>
  <c r="N38" s="1"/>
  <c r="N139" i="5"/>
  <c r="E139"/>
  <c r="N16"/>
  <c r="K27" l="1"/>
  <c r="J27"/>
  <c r="I27"/>
  <c r="H27"/>
  <c r="G27"/>
  <c r="F27"/>
  <c r="D27"/>
  <c r="E24"/>
  <c r="N24" s="1"/>
  <c r="E23"/>
  <c r="K33"/>
  <c r="J33"/>
  <c r="I33"/>
  <c r="H33"/>
  <c r="G33"/>
  <c r="F33"/>
  <c r="D33"/>
  <c r="E31"/>
  <c r="J58" i="11"/>
  <c r="J59"/>
  <c r="J60"/>
  <c r="J57"/>
  <c r="I74"/>
  <c r="I29" i="4"/>
  <c r="K74" i="11"/>
  <c r="J74"/>
  <c r="H74"/>
  <c r="G74"/>
  <c r="F74"/>
  <c r="D74"/>
  <c r="J49" i="9" s="1"/>
  <c r="P73" i="11"/>
  <c r="L74"/>
  <c r="E72"/>
  <c r="E74" s="1"/>
  <c r="E57"/>
  <c r="E58"/>
  <c r="E59"/>
  <c r="E60"/>
  <c r="K62"/>
  <c r="I62"/>
  <c r="H62"/>
  <c r="G62"/>
  <c r="F62"/>
  <c r="D62"/>
  <c r="H49" i="9" s="1"/>
  <c r="I132" i="7"/>
  <c r="H53" i="9" l="1"/>
  <c r="H51"/>
  <c r="J53"/>
  <c r="J51"/>
  <c r="J62" i="11"/>
  <c r="L33" i="5"/>
  <c r="E27"/>
  <c r="L27"/>
  <c r="N23"/>
  <c r="N31"/>
  <c r="E33"/>
  <c r="N72" i="11"/>
  <c r="N74" s="1"/>
  <c r="N58"/>
  <c r="N59"/>
  <c r="L62"/>
  <c r="N60"/>
  <c r="N57"/>
  <c r="E62"/>
  <c r="E25"/>
  <c r="E26"/>
  <c r="E27"/>
  <c r="E28"/>
  <c r="N28" s="1"/>
  <c r="E29"/>
  <c r="E30"/>
  <c r="E31"/>
  <c r="E32"/>
  <c r="N32" s="1"/>
  <c r="E33"/>
  <c r="E34"/>
  <c r="E35"/>
  <c r="E36"/>
  <c r="N36" s="1"/>
  <c r="E37"/>
  <c r="L10"/>
  <c r="K10"/>
  <c r="J10"/>
  <c r="I10"/>
  <c r="H10"/>
  <c r="G10"/>
  <c r="F10"/>
  <c r="D10"/>
  <c r="C49" i="9" s="1"/>
  <c r="E7" i="11"/>
  <c r="D37" i="4"/>
  <c r="D36"/>
  <c r="D35"/>
  <c r="C51" i="9" l="1"/>
  <c r="C53"/>
  <c r="N33" i="5"/>
  <c r="N27"/>
  <c r="N26" i="11"/>
  <c r="N37"/>
  <c r="N33"/>
  <c r="N29"/>
  <c r="N25"/>
  <c r="N30"/>
  <c r="N62"/>
  <c r="N34"/>
  <c r="N35"/>
  <c r="N31"/>
  <c r="N27"/>
  <c r="N7"/>
  <c r="N10" s="1"/>
  <c r="E10"/>
  <c r="G37" i="4" l="1"/>
  <c r="H37"/>
  <c r="I37"/>
  <c r="K37"/>
  <c r="F37"/>
  <c r="H35" l="1"/>
  <c r="D38"/>
  <c r="J29"/>
  <c r="J38" s="1"/>
  <c r="J25"/>
  <c r="J11"/>
  <c r="J37"/>
  <c r="I35"/>
  <c r="J35"/>
  <c r="K35"/>
  <c r="F35"/>
  <c r="H38"/>
  <c r="I38"/>
  <c r="K38"/>
  <c r="F38"/>
  <c r="G55" i="14"/>
  <c r="G2"/>
  <c r="D69" i="6"/>
  <c r="D31"/>
  <c r="E70" i="9" s="1"/>
  <c r="E68" s="1"/>
  <c r="D25" i="6"/>
  <c r="D18"/>
  <c r="D96" i="7"/>
  <c r="D43"/>
  <c r="H58" i="9" s="1"/>
  <c r="D22" i="7"/>
  <c r="E63" i="9" s="1"/>
  <c r="D68" i="11"/>
  <c r="I49" i="9" s="1"/>
  <c r="D40" i="11"/>
  <c r="E49" i="9" s="1"/>
  <c r="D19" i="11"/>
  <c r="D96" i="5"/>
  <c r="D81"/>
  <c r="F123" i="4"/>
  <c r="F122" i="12"/>
  <c r="F129" i="8"/>
  <c r="F148" i="11"/>
  <c r="F140" i="6"/>
  <c r="L49" i="7"/>
  <c r="E86"/>
  <c r="N86" s="1"/>
  <c r="E48"/>
  <c r="N48" s="1"/>
  <c r="M43"/>
  <c r="K43"/>
  <c r="I43"/>
  <c r="H43"/>
  <c r="G43"/>
  <c r="F43"/>
  <c r="G32" i="14"/>
  <c r="F32"/>
  <c r="D32"/>
  <c r="G31"/>
  <c r="F31"/>
  <c r="H31"/>
  <c r="D31"/>
  <c r="M11" i="7"/>
  <c r="M7"/>
  <c r="M3" i="6"/>
  <c r="L3"/>
  <c r="M3" i="11"/>
  <c r="L3"/>
  <c r="M3" i="7"/>
  <c r="M130" s="1"/>
  <c r="L3"/>
  <c r="L130" s="1"/>
  <c r="J102" i="5"/>
  <c r="J72"/>
  <c r="J18"/>
  <c r="M3"/>
  <c r="L3"/>
  <c r="L18" i="8"/>
  <c r="M3" i="12"/>
  <c r="M3" i="8" s="1"/>
  <c r="L3" i="12"/>
  <c r="L3" i="8" s="1"/>
  <c r="G29" i="4"/>
  <c r="G38" s="1"/>
  <c r="L12" i="12"/>
  <c r="L16" s="1"/>
  <c r="L15" s="1"/>
  <c r="M38" i="4"/>
  <c r="L31"/>
  <c r="G33" i="14"/>
  <c r="H33"/>
  <c r="G34"/>
  <c r="H34"/>
  <c r="G35"/>
  <c r="H35"/>
  <c r="G36"/>
  <c r="H36"/>
  <c r="G37"/>
  <c r="H37"/>
  <c r="G38"/>
  <c r="H38"/>
  <c r="G39"/>
  <c r="H39"/>
  <c r="G40"/>
  <c r="H40"/>
  <c r="G41"/>
  <c r="H41"/>
  <c r="G42"/>
  <c r="H42"/>
  <c r="G43"/>
  <c r="H43"/>
  <c r="G44"/>
  <c r="H44"/>
  <c r="G45"/>
  <c r="H45"/>
  <c r="G46"/>
  <c r="H46"/>
  <c r="G47"/>
  <c r="H47"/>
  <c r="G48"/>
  <c r="H48"/>
  <c r="G49"/>
  <c r="H49"/>
  <c r="G50"/>
  <c r="H50"/>
  <c r="G51"/>
  <c r="H51"/>
  <c r="G52"/>
  <c r="H52"/>
  <c r="G53"/>
  <c r="H53"/>
  <c r="G54"/>
  <c r="H54"/>
  <c r="H55"/>
  <c r="G56"/>
  <c r="H56"/>
  <c r="G57"/>
  <c r="H57"/>
  <c r="G58"/>
  <c r="H58"/>
  <c r="G59"/>
  <c r="H59"/>
  <c r="G60"/>
  <c r="H60"/>
  <c r="G61"/>
  <c r="H61"/>
  <c r="G62"/>
  <c r="H62"/>
  <c r="G63"/>
  <c r="H63"/>
  <c r="G64"/>
  <c r="H64"/>
  <c r="G65"/>
  <c r="H65"/>
  <c r="G66"/>
  <c r="H66"/>
  <c r="G67"/>
  <c r="H67"/>
  <c r="G68"/>
  <c r="H68"/>
  <c r="G69"/>
  <c r="H69"/>
  <c r="G70"/>
  <c r="H70"/>
  <c r="G71"/>
  <c r="H71"/>
  <c r="G72"/>
  <c r="H72"/>
  <c r="G73"/>
  <c r="H73"/>
  <c r="G74"/>
  <c r="H74"/>
  <c r="G75"/>
  <c r="H75"/>
  <c r="G76"/>
  <c r="H76"/>
  <c r="G77"/>
  <c r="H77"/>
  <c r="G78"/>
  <c r="H78"/>
  <c r="G79"/>
  <c r="H79"/>
  <c r="G80"/>
  <c r="H80"/>
  <c r="G81"/>
  <c r="H81"/>
  <c r="G82"/>
  <c r="H82"/>
  <c r="G83"/>
  <c r="H83"/>
  <c r="G84"/>
  <c r="H84"/>
  <c r="G85"/>
  <c r="H85"/>
  <c r="G86"/>
  <c r="H86"/>
  <c r="G87"/>
  <c r="H87"/>
  <c r="G88"/>
  <c r="H88"/>
  <c r="G89"/>
  <c r="H89"/>
  <c r="G90"/>
  <c r="H90"/>
  <c r="G91"/>
  <c r="H91"/>
  <c r="G92"/>
  <c r="H92"/>
  <c r="G93"/>
  <c r="H93"/>
  <c r="H99"/>
  <c r="H98"/>
  <c r="E95"/>
  <c r="E101"/>
  <c r="C95"/>
  <c r="B95"/>
  <c r="D94"/>
  <c r="H94" s="1"/>
  <c r="G30"/>
  <c r="F30"/>
  <c r="D30"/>
  <c r="H30" s="1"/>
  <c r="G29"/>
  <c r="F29"/>
  <c r="D29"/>
  <c r="G28"/>
  <c r="F28"/>
  <c r="D28"/>
  <c r="G27"/>
  <c r="F27"/>
  <c r="D27"/>
  <c r="G26"/>
  <c r="F26"/>
  <c r="D26"/>
  <c r="G25"/>
  <c r="F25"/>
  <c r="D25"/>
  <c r="G24"/>
  <c r="F24"/>
  <c r="D24"/>
  <c r="G23"/>
  <c r="F23"/>
  <c r="D23"/>
  <c r="G22"/>
  <c r="F22"/>
  <c r="D22"/>
  <c r="G21"/>
  <c r="F21"/>
  <c r="D21"/>
  <c r="G20"/>
  <c r="F20"/>
  <c r="D20"/>
  <c r="G19"/>
  <c r="F19"/>
  <c r="D19"/>
  <c r="G18"/>
  <c r="F18"/>
  <c r="D18"/>
  <c r="G17"/>
  <c r="F17"/>
  <c r="M37" i="4" s="1"/>
  <c r="D17" i="14"/>
  <c r="G16"/>
  <c r="F16"/>
  <c r="M25" i="4" s="1"/>
  <c r="D16" i="14"/>
  <c r="G15"/>
  <c r="F15"/>
  <c r="M11" i="8" s="1"/>
  <c r="D15" i="14"/>
  <c r="L11" i="8" s="1"/>
  <c r="G14" i="14"/>
  <c r="F14"/>
  <c r="D14"/>
  <c r="G13"/>
  <c r="F13"/>
  <c r="D13"/>
  <c r="G12"/>
  <c r="F12"/>
  <c r="M36" i="4" s="1"/>
  <c r="D12" i="14"/>
  <c r="G11"/>
  <c r="F11"/>
  <c r="D11"/>
  <c r="G10"/>
  <c r="F10"/>
  <c r="D10"/>
  <c r="H10" s="1"/>
  <c r="G9"/>
  <c r="F9"/>
  <c r="D9"/>
  <c r="H9" s="1"/>
  <c r="G8"/>
  <c r="F8"/>
  <c r="D8"/>
  <c r="G7"/>
  <c r="F7"/>
  <c r="D7"/>
  <c r="G6"/>
  <c r="F6"/>
  <c r="M22" i="7" s="1"/>
  <c r="D6" i="14"/>
  <c r="G5"/>
  <c r="F5"/>
  <c r="D5"/>
  <c r="G4"/>
  <c r="F4"/>
  <c r="D4"/>
  <c r="G3"/>
  <c r="F3"/>
  <c r="D3"/>
  <c r="F2"/>
  <c r="D2"/>
  <c r="H23"/>
  <c r="L95" i="6"/>
  <c r="L89"/>
  <c r="L83"/>
  <c r="L69"/>
  <c r="L63"/>
  <c r="L57"/>
  <c r="L25"/>
  <c r="L18"/>
  <c r="L99" i="11"/>
  <c r="L53"/>
  <c r="L46"/>
  <c r="L96" i="5"/>
  <c r="L61"/>
  <c r="L51"/>
  <c r="L9"/>
  <c r="M18" i="8"/>
  <c r="K18"/>
  <c r="K11"/>
  <c r="N142" i="7"/>
  <c r="E9" i="12"/>
  <c r="E12" s="1"/>
  <c r="E16" s="1"/>
  <c r="K12"/>
  <c r="K16" s="1"/>
  <c r="K15" s="1"/>
  <c r="J12"/>
  <c r="H12"/>
  <c r="H16" s="1"/>
  <c r="G12"/>
  <c r="G16"/>
  <c r="G15" s="1"/>
  <c r="F12"/>
  <c r="F16" s="1"/>
  <c r="D12"/>
  <c r="G35" i="4"/>
  <c r="E21" i="7"/>
  <c r="E22" s="1"/>
  <c r="K22"/>
  <c r="I22"/>
  <c r="H22"/>
  <c r="G22"/>
  <c r="F22"/>
  <c r="I93" i="5"/>
  <c r="I92"/>
  <c r="I91"/>
  <c r="I90"/>
  <c r="I89"/>
  <c r="I88"/>
  <c r="I89" i="6"/>
  <c r="I95"/>
  <c r="I94" i="5"/>
  <c r="E114"/>
  <c r="E129"/>
  <c r="E128"/>
  <c r="E66" i="9"/>
  <c r="D66"/>
  <c r="C66"/>
  <c r="C56"/>
  <c r="F36" i="4"/>
  <c r="G36"/>
  <c r="H36"/>
  <c r="I36"/>
  <c r="K36"/>
  <c r="Q141" i="5"/>
  <c r="Q63"/>
  <c r="Q102" i="11"/>
  <c r="E99" i="7"/>
  <c r="F99"/>
  <c r="G99"/>
  <c r="H99"/>
  <c r="I99"/>
  <c r="K99"/>
  <c r="M99"/>
  <c r="N99"/>
  <c r="H95"/>
  <c r="F95"/>
  <c r="E95"/>
  <c r="E67" i="6"/>
  <c r="N67" s="1"/>
  <c r="K69"/>
  <c r="K97" s="1"/>
  <c r="I69"/>
  <c r="G69"/>
  <c r="J69"/>
  <c r="K57"/>
  <c r="J57"/>
  <c r="I57"/>
  <c r="G57"/>
  <c r="D57"/>
  <c r="F57"/>
  <c r="H55"/>
  <c r="H57" s="1"/>
  <c r="E55"/>
  <c r="E26" i="7"/>
  <c r="E28" s="1"/>
  <c r="E88"/>
  <c r="N88" s="1"/>
  <c r="E87"/>
  <c r="N87" s="1"/>
  <c r="E85"/>
  <c r="N85" s="1"/>
  <c r="K124" i="5"/>
  <c r="J124"/>
  <c r="I124"/>
  <c r="H124"/>
  <c r="G124"/>
  <c r="F124"/>
  <c r="N123"/>
  <c r="P123" s="1"/>
  <c r="E121"/>
  <c r="K110"/>
  <c r="I110"/>
  <c r="H110"/>
  <c r="G110"/>
  <c r="F110"/>
  <c r="D110"/>
  <c r="E108"/>
  <c r="E106"/>
  <c r="E23" i="4"/>
  <c r="E25" s="1"/>
  <c r="K25"/>
  <c r="I25"/>
  <c r="H25"/>
  <c r="G25"/>
  <c r="F25"/>
  <c r="D25"/>
  <c r="J96" i="5"/>
  <c r="H96"/>
  <c r="G96"/>
  <c r="F96"/>
  <c r="K96"/>
  <c r="E94"/>
  <c r="E93"/>
  <c r="E92"/>
  <c r="E91"/>
  <c r="E90"/>
  <c r="E89"/>
  <c r="E88"/>
  <c r="K25" i="6"/>
  <c r="I25"/>
  <c r="G25"/>
  <c r="J25"/>
  <c r="E23"/>
  <c r="H25"/>
  <c r="E22"/>
  <c r="N22" s="1"/>
  <c r="K19" i="11"/>
  <c r="I19"/>
  <c r="H19"/>
  <c r="G19"/>
  <c r="F19"/>
  <c r="E16"/>
  <c r="J19"/>
  <c r="E15"/>
  <c r="E14"/>
  <c r="K18" i="5"/>
  <c r="I18"/>
  <c r="H18"/>
  <c r="G18"/>
  <c r="F18"/>
  <c r="D18"/>
  <c r="E14"/>
  <c r="E18" s="1"/>
  <c r="K89" i="6"/>
  <c r="J89"/>
  <c r="G89"/>
  <c r="D89"/>
  <c r="M74" i="9" s="1"/>
  <c r="N88" i="6"/>
  <c r="P88" s="1"/>
  <c r="H89"/>
  <c r="F89"/>
  <c r="E87"/>
  <c r="K83"/>
  <c r="J83"/>
  <c r="I83"/>
  <c r="G83"/>
  <c r="D83"/>
  <c r="N82"/>
  <c r="P82" s="1"/>
  <c r="H81"/>
  <c r="H83" s="1"/>
  <c r="F83"/>
  <c r="E81"/>
  <c r="E83" s="1"/>
  <c r="E29" i="4"/>
  <c r="K31"/>
  <c r="I31"/>
  <c r="H31"/>
  <c r="G31"/>
  <c r="F31"/>
  <c r="D31"/>
  <c r="C21" i="9"/>
  <c r="D21"/>
  <c r="E7" i="6"/>
  <c r="E15"/>
  <c r="E16"/>
  <c r="G18"/>
  <c r="I18"/>
  <c r="J18"/>
  <c r="K18"/>
  <c r="E29"/>
  <c r="F31"/>
  <c r="G31"/>
  <c r="H31"/>
  <c r="I31"/>
  <c r="K31"/>
  <c r="E61"/>
  <c r="F61"/>
  <c r="H61"/>
  <c r="H63" s="1"/>
  <c r="D63"/>
  <c r="G63"/>
  <c r="I63"/>
  <c r="J63"/>
  <c r="K63"/>
  <c r="E93"/>
  <c r="N94"/>
  <c r="P94" s="1"/>
  <c r="D95"/>
  <c r="N70" i="9" s="1"/>
  <c r="F95" i="6"/>
  <c r="G95"/>
  <c r="H95"/>
  <c r="J95"/>
  <c r="K95"/>
  <c r="E8" i="7"/>
  <c r="N8" s="1"/>
  <c r="E11"/>
  <c r="D12"/>
  <c r="F12"/>
  <c r="G12"/>
  <c r="H12"/>
  <c r="I12"/>
  <c r="K12"/>
  <c r="E32"/>
  <c r="N32" s="1"/>
  <c r="F33"/>
  <c r="D33"/>
  <c r="F58" i="9" s="1"/>
  <c r="G33" i="7"/>
  <c r="H33"/>
  <c r="I33"/>
  <c r="K33"/>
  <c r="E47"/>
  <c r="N47" s="1"/>
  <c r="F49"/>
  <c r="D49"/>
  <c r="I58" i="9" s="1"/>
  <c r="G49" i="7"/>
  <c r="I49"/>
  <c r="K49"/>
  <c r="M49"/>
  <c r="E80"/>
  <c r="F80"/>
  <c r="H80"/>
  <c r="E81"/>
  <c r="F81"/>
  <c r="E82"/>
  <c r="N82" s="1"/>
  <c r="E83"/>
  <c r="F83"/>
  <c r="E84"/>
  <c r="F84"/>
  <c r="H84"/>
  <c r="E89"/>
  <c r="F89"/>
  <c r="E90"/>
  <c r="N90" s="1"/>
  <c r="E91"/>
  <c r="F91"/>
  <c r="H91"/>
  <c r="E92"/>
  <c r="F92"/>
  <c r="H92"/>
  <c r="E93"/>
  <c r="F93"/>
  <c r="H93"/>
  <c r="E94"/>
  <c r="F94"/>
  <c r="G96"/>
  <c r="I96"/>
  <c r="K96"/>
  <c r="M96"/>
  <c r="E103"/>
  <c r="F103"/>
  <c r="F105" s="1"/>
  <c r="H103"/>
  <c r="E104"/>
  <c r="H104"/>
  <c r="D105"/>
  <c r="O58" i="9" s="1"/>
  <c r="G105" i="7"/>
  <c r="I105"/>
  <c r="K105"/>
  <c r="M105"/>
  <c r="N109"/>
  <c r="P109" s="1"/>
  <c r="N110"/>
  <c r="P110" s="1"/>
  <c r="H111"/>
  <c r="N111" s="1"/>
  <c r="N112"/>
  <c r="P112" s="1"/>
  <c r="N113"/>
  <c r="P113" s="1"/>
  <c r="H114"/>
  <c r="N114" s="1"/>
  <c r="P114" s="1"/>
  <c r="D115"/>
  <c r="E115"/>
  <c r="F115"/>
  <c r="G115"/>
  <c r="I115"/>
  <c r="K115"/>
  <c r="M115"/>
  <c r="E121"/>
  <c r="D123"/>
  <c r="F123"/>
  <c r="G123"/>
  <c r="H123"/>
  <c r="I123"/>
  <c r="K123"/>
  <c r="M123"/>
  <c r="E24" i="11"/>
  <c r="F40"/>
  <c r="G40"/>
  <c r="H40"/>
  <c r="I40"/>
  <c r="K40"/>
  <c r="E44"/>
  <c r="E46" s="1"/>
  <c r="D46"/>
  <c r="F49" i="9" s="1"/>
  <c r="F46" i="11"/>
  <c r="G46"/>
  <c r="H46"/>
  <c r="I46"/>
  <c r="J46"/>
  <c r="K46"/>
  <c r="E51"/>
  <c r="N51" s="1"/>
  <c r="D53"/>
  <c r="G49" i="9" s="1"/>
  <c r="F53" i="11"/>
  <c r="G53"/>
  <c r="H53"/>
  <c r="I53"/>
  <c r="J53"/>
  <c r="K53"/>
  <c r="E65"/>
  <c r="E66"/>
  <c r="F68"/>
  <c r="G68"/>
  <c r="H68"/>
  <c r="I68"/>
  <c r="J68"/>
  <c r="K68"/>
  <c r="E77"/>
  <c r="E78"/>
  <c r="P79"/>
  <c r="P80"/>
  <c r="D81"/>
  <c r="K49" i="9" s="1"/>
  <c r="F81" i="11"/>
  <c r="G81"/>
  <c r="H81"/>
  <c r="I81"/>
  <c r="J81"/>
  <c r="K81"/>
  <c r="N91"/>
  <c r="N92"/>
  <c r="N93"/>
  <c r="N94"/>
  <c r="N95"/>
  <c r="N96"/>
  <c r="N97"/>
  <c r="F99"/>
  <c r="G99"/>
  <c r="H99"/>
  <c r="I99"/>
  <c r="J99"/>
  <c r="K99"/>
  <c r="D9" i="5"/>
  <c r="F9"/>
  <c r="G9"/>
  <c r="H9"/>
  <c r="I9"/>
  <c r="J9"/>
  <c r="J63" s="1"/>
  <c r="K9"/>
  <c r="E37"/>
  <c r="E38"/>
  <c r="D40"/>
  <c r="F40"/>
  <c r="G40"/>
  <c r="H40"/>
  <c r="I40"/>
  <c r="J40"/>
  <c r="K40"/>
  <c r="E44"/>
  <c r="N44" s="1"/>
  <c r="E45"/>
  <c r="F45"/>
  <c r="F51" s="1"/>
  <c r="F63" s="1"/>
  <c r="H45"/>
  <c r="H51" s="1"/>
  <c r="E46"/>
  <c r="N46" s="1"/>
  <c r="E47"/>
  <c r="N47" s="1"/>
  <c r="E48"/>
  <c r="N48" s="1"/>
  <c r="E49"/>
  <c r="N49" s="1"/>
  <c r="N50"/>
  <c r="P50" s="1"/>
  <c r="D51"/>
  <c r="G51"/>
  <c r="I51"/>
  <c r="J51"/>
  <c r="K51"/>
  <c r="N55"/>
  <c r="N56"/>
  <c r="N57"/>
  <c r="N58"/>
  <c r="N59"/>
  <c r="P59" s="1"/>
  <c r="N60"/>
  <c r="P60" s="1"/>
  <c r="E61"/>
  <c r="F61"/>
  <c r="G61"/>
  <c r="H61"/>
  <c r="I61"/>
  <c r="J61"/>
  <c r="K61"/>
  <c r="E69"/>
  <c r="E72" s="1"/>
  <c r="N71"/>
  <c r="P71" s="1"/>
  <c r="D72"/>
  <c r="F72"/>
  <c r="F83" s="1"/>
  <c r="G72"/>
  <c r="H72"/>
  <c r="I72"/>
  <c r="K72"/>
  <c r="K83" s="1"/>
  <c r="N76"/>
  <c r="N77"/>
  <c r="N78"/>
  <c r="N79"/>
  <c r="N80"/>
  <c r="P80" s="1"/>
  <c r="E81"/>
  <c r="F81"/>
  <c r="G81"/>
  <c r="H81"/>
  <c r="I81"/>
  <c r="J81"/>
  <c r="K81"/>
  <c r="E100"/>
  <c r="E102" s="1"/>
  <c r="D102"/>
  <c r="F102"/>
  <c r="G102"/>
  <c r="H102"/>
  <c r="I102"/>
  <c r="K102"/>
  <c r="F117"/>
  <c r="G117"/>
  <c r="H117"/>
  <c r="I117"/>
  <c r="J117"/>
  <c r="K117"/>
  <c r="N131"/>
  <c r="P131" s="1"/>
  <c r="F132"/>
  <c r="F140" s="1"/>
  <c r="G132"/>
  <c r="H132"/>
  <c r="I132"/>
  <c r="K132"/>
  <c r="E8" i="8"/>
  <c r="E11" s="1"/>
  <c r="D11"/>
  <c r="C23" i="9" s="1"/>
  <c r="F11" i="8"/>
  <c r="G11"/>
  <c r="H11"/>
  <c r="I11"/>
  <c r="J11"/>
  <c r="J133" i="7" s="1"/>
  <c r="E15" i="8"/>
  <c r="E18" s="1"/>
  <c r="D18"/>
  <c r="D23" i="9" s="1"/>
  <c r="F18" i="8"/>
  <c r="F21"/>
  <c r="F133" i="7" s="1"/>
  <c r="G18" i="8"/>
  <c r="G21" s="1"/>
  <c r="G133" i="7" s="1"/>
  <c r="H18" i="8"/>
  <c r="I18"/>
  <c r="I21" s="1"/>
  <c r="I133" i="7" s="1"/>
  <c r="J18" i="8"/>
  <c r="J132" i="7"/>
  <c r="E8" i="4"/>
  <c r="E9"/>
  <c r="D11"/>
  <c r="F11"/>
  <c r="G11"/>
  <c r="H11"/>
  <c r="I11"/>
  <c r="K11"/>
  <c r="E15"/>
  <c r="E16"/>
  <c r="E37" s="1"/>
  <c r="D19"/>
  <c r="F19"/>
  <c r="G19"/>
  <c r="H19"/>
  <c r="I19"/>
  <c r="J19"/>
  <c r="K19"/>
  <c r="H18" i="6"/>
  <c r="F18"/>
  <c r="H69"/>
  <c r="H97" s="1"/>
  <c r="F69"/>
  <c r="H49" i="7"/>
  <c r="F25" i="6"/>
  <c r="K63" i="5" l="1"/>
  <c r="J97" i="6"/>
  <c r="I97"/>
  <c r="I138" i="7" s="1"/>
  <c r="I141" i="5"/>
  <c r="E38" i="9"/>
  <c r="H28"/>
  <c r="B28" s="1"/>
  <c r="D63" i="5"/>
  <c r="H105" i="7"/>
  <c r="G51" i="9"/>
  <c r="G53"/>
  <c r="E53"/>
  <c r="E51"/>
  <c r="G102" i="11"/>
  <c r="I102"/>
  <c r="K51" i="9"/>
  <c r="K53"/>
  <c r="I51"/>
  <c r="I53"/>
  <c r="F102" i="11"/>
  <c r="H102"/>
  <c r="C63" i="9"/>
  <c r="B63" s="1"/>
  <c r="N58"/>
  <c r="B58" s="1"/>
  <c r="N40" s="1"/>
  <c r="D127" i="7"/>
  <c r="D137" s="1"/>
  <c r="N68" i="9"/>
  <c r="B70"/>
  <c r="B74"/>
  <c r="M68"/>
  <c r="D97" i="6"/>
  <c r="F53" i="9"/>
  <c r="F51"/>
  <c r="D49"/>
  <c r="B49" s="1"/>
  <c r="B51" s="1"/>
  <c r="E15" i="12"/>
  <c r="E132" i="7" s="1"/>
  <c r="B18" i="9"/>
  <c r="N16" i="6"/>
  <c r="N100" s="1"/>
  <c r="E99"/>
  <c r="N7"/>
  <c r="E98"/>
  <c r="K141" i="5"/>
  <c r="K102" i="11"/>
  <c r="K136" i="7" s="1"/>
  <c r="J83" i="5"/>
  <c r="H15" i="12"/>
  <c r="H132" i="7" s="1"/>
  <c r="F132"/>
  <c r="F15" i="12"/>
  <c r="D34" i="4"/>
  <c r="D131" i="7" s="1"/>
  <c r="E83" i="5"/>
  <c r="N94" i="7"/>
  <c r="P94" s="1"/>
  <c r="N89"/>
  <c r="H6" i="14"/>
  <c r="H7"/>
  <c r="H8"/>
  <c r="H11"/>
  <c r="H13"/>
  <c r="L21" i="8"/>
  <c r="H21" i="14"/>
  <c r="H96" i="7"/>
  <c r="F96"/>
  <c r="F117" s="1"/>
  <c r="N84"/>
  <c r="N104"/>
  <c r="H115"/>
  <c r="N115"/>
  <c r="P111"/>
  <c r="N93"/>
  <c r="P93" s="1"/>
  <c r="N92"/>
  <c r="P92" s="1"/>
  <c r="N83"/>
  <c r="N81"/>
  <c r="N91"/>
  <c r="P91" s="1"/>
  <c r="N80"/>
  <c r="N95"/>
  <c r="M33"/>
  <c r="K117"/>
  <c r="K127" s="1"/>
  <c r="K137" s="1"/>
  <c r="J137"/>
  <c r="I117"/>
  <c r="G117"/>
  <c r="E43"/>
  <c r="E105"/>
  <c r="E33"/>
  <c r="B23" i="9"/>
  <c r="N103" i="7"/>
  <c r="K21" i="8"/>
  <c r="K133" i="7" s="1"/>
  <c r="H21" i="8"/>
  <c r="H133" i="7" s="1"/>
  <c r="N55" i="6"/>
  <c r="N57" s="1"/>
  <c r="N81"/>
  <c r="N83" s="1"/>
  <c r="K138" i="7"/>
  <c r="D138"/>
  <c r="C78" i="9" s="1"/>
  <c r="H138" i="7"/>
  <c r="E57" i="6"/>
  <c r="F63"/>
  <c r="F138" i="7" s="1"/>
  <c r="J31" i="6"/>
  <c r="J138" i="7" s="1"/>
  <c r="G138"/>
  <c r="N93" i="6"/>
  <c r="N95" s="1"/>
  <c r="N61"/>
  <c r="N63" s="1"/>
  <c r="E63"/>
  <c r="G83" i="5"/>
  <c r="H83"/>
  <c r="I83"/>
  <c r="D83"/>
  <c r="D124"/>
  <c r="G38" i="9" s="1"/>
  <c r="N92" i="5"/>
  <c r="D117"/>
  <c r="J110"/>
  <c r="N61"/>
  <c r="N81"/>
  <c r="B33" i="9"/>
  <c r="N94" i="5"/>
  <c r="E124"/>
  <c r="N89"/>
  <c r="N93"/>
  <c r="I96"/>
  <c r="J132"/>
  <c r="N90"/>
  <c r="N91"/>
  <c r="D132"/>
  <c r="H38" i="9" s="1"/>
  <c r="L40" i="5"/>
  <c r="L117"/>
  <c r="N37"/>
  <c r="E110"/>
  <c r="N44" i="11"/>
  <c r="N46" s="1"/>
  <c r="N99"/>
  <c r="H136" i="7"/>
  <c r="J40" i="11"/>
  <c r="F136" i="7"/>
  <c r="I136"/>
  <c r="D136"/>
  <c r="G136"/>
  <c r="N77" i="11"/>
  <c r="M12" i="7"/>
  <c r="E31" i="6"/>
  <c r="E53" i="11"/>
  <c r="E36" i="4"/>
  <c r="E49" i="7"/>
  <c r="N16" i="11"/>
  <c r="D16" i="12"/>
  <c r="G132" i="7"/>
  <c r="K132"/>
  <c r="M21" i="8"/>
  <c r="M133" i="7" s="1"/>
  <c r="D21" i="8"/>
  <c r="D133" i="7" s="1"/>
  <c r="N49"/>
  <c r="N9" i="12"/>
  <c r="N121" i="5"/>
  <c r="E68" i="11"/>
  <c r="E95" i="6"/>
  <c r="E21" i="8"/>
  <c r="E133" i="7" s="1"/>
  <c r="N43"/>
  <c r="E18" i="6"/>
  <c r="K34" i="4"/>
  <c r="K131" i="7" s="1"/>
  <c r="F34" i="4"/>
  <c r="F131" i="7" s="1"/>
  <c r="H34" i="4"/>
  <c r="H131" i="7" s="1"/>
  <c r="I34" i="4"/>
  <c r="I131" i="7" s="1"/>
  <c r="G34" i="4"/>
  <c r="G131" i="7" s="1"/>
  <c r="E35" i="4"/>
  <c r="J31"/>
  <c r="J34" s="1"/>
  <c r="J131" i="7" s="1"/>
  <c r="L38" i="4"/>
  <c r="L102" i="5"/>
  <c r="H3" i="14"/>
  <c r="H12"/>
  <c r="H16"/>
  <c r="H20"/>
  <c r="H24"/>
  <c r="L19" i="11"/>
  <c r="L68"/>
  <c r="L81"/>
  <c r="L12" i="7"/>
  <c r="H32" i="14"/>
  <c r="L40" i="11"/>
  <c r="G95" i="14"/>
  <c r="B103" s="1"/>
  <c r="N15" i="8"/>
  <c r="N18" s="1"/>
  <c r="M12" i="12"/>
  <c r="M16" s="1"/>
  <c r="M15" s="1"/>
  <c r="M132" i="7" s="1"/>
  <c r="H15" i="14"/>
  <c r="H14"/>
  <c r="H22"/>
  <c r="H27"/>
  <c r="L22" i="7"/>
  <c r="M19" i="4"/>
  <c r="M35"/>
  <c r="M11"/>
  <c r="N26" i="7"/>
  <c r="N28" s="1"/>
  <c r="N106" i="5"/>
  <c r="L72"/>
  <c r="L83" s="1"/>
  <c r="N69"/>
  <c r="N72" s="1"/>
  <c r="N128"/>
  <c r="N11" i="7"/>
  <c r="N29" i="4"/>
  <c r="N31" s="1"/>
  <c r="M31"/>
  <c r="H25" i="14"/>
  <c r="H17"/>
  <c r="L35" i="4"/>
  <c r="H4" i="14"/>
  <c r="H18"/>
  <c r="H26"/>
  <c r="B97"/>
  <c r="N108" i="5"/>
  <c r="N129"/>
  <c r="L33" i="7"/>
  <c r="N65" i="11"/>
  <c r="N15"/>
  <c r="L124" i="5"/>
  <c r="H19" i="14"/>
  <c r="H28"/>
  <c r="N8" i="8"/>
  <c r="N11" s="1"/>
  <c r="N66" i="11"/>
  <c r="N7" i="7"/>
  <c r="N14" i="11"/>
  <c r="H29" i="14"/>
  <c r="H5"/>
  <c r="H2"/>
  <c r="N24" i="11"/>
  <c r="E31" i="4"/>
  <c r="E38"/>
  <c r="J36"/>
  <c r="E19"/>
  <c r="E51" i="5"/>
  <c r="N45"/>
  <c r="N51" s="1"/>
  <c r="E40"/>
  <c r="N38"/>
  <c r="N78" i="11"/>
  <c r="E81"/>
  <c r="E40"/>
  <c r="E89" i="6"/>
  <c r="N87"/>
  <c r="E25"/>
  <c r="N23"/>
  <c r="N25" s="1"/>
  <c r="N114" i="5"/>
  <c r="N53" i="11"/>
  <c r="E69" i="6"/>
  <c r="E132" i="5"/>
  <c r="E19" i="11"/>
  <c r="E96" i="7"/>
  <c r="E12"/>
  <c r="N8" i="4"/>
  <c r="E11"/>
  <c r="E9" i="5"/>
  <c r="E63" s="1"/>
  <c r="N88"/>
  <c r="E96"/>
  <c r="N23" i="4"/>
  <c r="N15" i="6"/>
  <c r="N121" i="7"/>
  <c r="E123"/>
  <c r="B68" i="9" l="1"/>
  <c r="D78" s="1"/>
  <c r="E78" s="1"/>
  <c r="H40"/>
  <c r="H44"/>
  <c r="H42"/>
  <c r="D141" i="5"/>
  <c r="D143" s="1"/>
  <c r="D134" i="7" s="1"/>
  <c r="G40" i="9"/>
  <c r="G44"/>
  <c r="G42"/>
  <c r="E44"/>
  <c r="B44" s="1"/>
  <c r="E42"/>
  <c r="B38"/>
  <c r="C77" s="1"/>
  <c r="E40"/>
  <c r="N12" i="12"/>
  <c r="N16" s="1"/>
  <c r="N15" s="1"/>
  <c r="E102" i="11"/>
  <c r="E136" i="7" s="1"/>
  <c r="J136"/>
  <c r="L102" i="11"/>
  <c r="D51" i="9"/>
  <c r="D53"/>
  <c r="E97" i="6"/>
  <c r="E138" i="7" s="1"/>
  <c r="F127"/>
  <c r="F137" s="1"/>
  <c r="I127"/>
  <c r="I137" s="1"/>
  <c r="D15" i="12"/>
  <c r="D132" i="7" s="1"/>
  <c r="G127"/>
  <c r="G137" s="1"/>
  <c r="H117"/>
  <c r="H127" s="1"/>
  <c r="H137" s="1"/>
  <c r="N105"/>
  <c r="N96"/>
  <c r="M117"/>
  <c r="M137" s="1"/>
  <c r="N83" i="5"/>
  <c r="E117"/>
  <c r="E141" s="1"/>
  <c r="J143"/>
  <c r="J134" i="7" s="1"/>
  <c r="N124" i="5"/>
  <c r="K143"/>
  <c r="K134" i="7" s="1"/>
  <c r="K140" s="1"/>
  <c r="F143" i="5"/>
  <c r="F134" i="7" s="1"/>
  <c r="G143" i="5"/>
  <c r="G134" i="7" s="1"/>
  <c r="H143" i="5"/>
  <c r="H134" i="7" s="1"/>
  <c r="I143" i="5"/>
  <c r="I134" i="7" s="1"/>
  <c r="N81" i="11"/>
  <c r="M138" i="7"/>
  <c r="N100" i="5"/>
  <c r="N102" s="1"/>
  <c r="L117" i="7"/>
  <c r="M136"/>
  <c r="N33"/>
  <c r="N40" i="11"/>
  <c r="N21" i="7"/>
  <c r="N22" s="1"/>
  <c r="N68" i="11"/>
  <c r="N19"/>
  <c r="E117" i="7"/>
  <c r="E127" s="1"/>
  <c r="E137" s="1"/>
  <c r="N110" i="5"/>
  <c r="N38" i="4"/>
  <c r="E34"/>
  <c r="E131" i="7" s="1"/>
  <c r="M34" i="4"/>
  <c r="M131" i="7" s="1"/>
  <c r="L25" i="4"/>
  <c r="N12" i="7"/>
  <c r="L36" i="4"/>
  <c r="N29" i="6"/>
  <c r="N98" s="1"/>
  <c r="L37" i="4"/>
  <c r="M134" i="7"/>
  <c r="L11" i="4"/>
  <c r="N9"/>
  <c r="L31" i="6"/>
  <c r="N15" i="4"/>
  <c r="L127" i="7"/>
  <c r="L137" s="1"/>
  <c r="N132" i="5"/>
  <c r="L132"/>
  <c r="L110"/>
  <c r="N14"/>
  <c r="N18" s="1"/>
  <c r="L18"/>
  <c r="N35" i="4"/>
  <c r="N117" i="5"/>
  <c r="N89" i="6"/>
  <c r="N123" i="7"/>
  <c r="N25" i="4"/>
  <c r="N96" i="5"/>
  <c r="N9"/>
  <c r="N40"/>
  <c r="N69" i="6"/>
  <c r="N21" i="8"/>
  <c r="N133" i="7" s="1"/>
  <c r="N18" i="6"/>
  <c r="F140" i="7" l="1"/>
  <c r="B42" i="9"/>
  <c r="B40"/>
  <c r="J140" i="7"/>
  <c r="N102" i="11"/>
  <c r="N136" i="7" s="1"/>
  <c r="B53" i="9"/>
  <c r="I140" i="7"/>
  <c r="N63" i="5"/>
  <c r="N141"/>
  <c r="D140" i="7"/>
  <c r="D144" s="1"/>
  <c r="D77" i="9" s="1"/>
  <c r="E77" s="1"/>
  <c r="G140" i="7"/>
  <c r="H140"/>
  <c r="E143" i="5"/>
  <c r="E134" i="7" s="1"/>
  <c r="E140" s="1"/>
  <c r="N117"/>
  <c r="M140"/>
  <c r="L19" i="4"/>
  <c r="L34" s="1"/>
  <c r="N36"/>
  <c r="N31" i="6"/>
  <c r="N16" i="4"/>
  <c r="N37" s="1"/>
  <c r="N11"/>
  <c r="L143" i="5"/>
  <c r="N132" i="7"/>
  <c r="N97" i="6" l="1"/>
  <c r="N138" i="7" s="1"/>
  <c r="N127"/>
  <c r="N137" s="1"/>
  <c r="N19" i="4"/>
  <c r="N143" i="5"/>
  <c r="N134" i="7" s="1"/>
  <c r="N34" i="4" l="1"/>
  <c r="N131" i="7" s="1"/>
  <c r="N140" s="1"/>
  <c r="N143" s="1"/>
  <c r="A8" i="2" l="1"/>
  <c r="O9" i="12" s="1"/>
  <c r="O85" i="11" l="1"/>
  <c r="P85" s="1"/>
  <c r="O87"/>
  <c r="P87" s="1"/>
  <c r="O66" i="7"/>
  <c r="P66" s="1"/>
  <c r="O60"/>
  <c r="P60" s="1"/>
  <c r="O54"/>
  <c r="P54" s="1"/>
  <c r="O8" i="4"/>
  <c r="O74" i="7"/>
  <c r="P74" s="1"/>
  <c r="O73"/>
  <c r="P73" s="1"/>
  <c r="O16"/>
  <c r="P16" s="1"/>
  <c r="O17"/>
  <c r="P17" s="1"/>
  <c r="R17" s="1"/>
  <c r="D57" i="9" s="1"/>
  <c r="O27" i="7"/>
  <c r="P27" s="1"/>
  <c r="O9"/>
  <c r="P9" s="1"/>
  <c r="O10"/>
  <c r="P10" s="1"/>
  <c r="O72"/>
  <c r="P72" s="1"/>
  <c r="O65"/>
  <c r="P65" s="1"/>
  <c r="O53"/>
  <c r="P53" s="1"/>
  <c r="O71"/>
  <c r="P71" s="1"/>
  <c r="O59"/>
  <c r="P59" s="1"/>
  <c r="O75"/>
  <c r="P75" s="1"/>
  <c r="R75" s="1"/>
  <c r="M57" i="9" s="1"/>
  <c r="M59" s="1"/>
  <c r="O61" i="7"/>
  <c r="P61" s="1"/>
  <c r="R61" s="1"/>
  <c r="K57" i="9" s="1"/>
  <c r="K59" s="1"/>
  <c r="O67" i="7"/>
  <c r="P67" s="1"/>
  <c r="R67" s="1"/>
  <c r="L57" i="9" s="1"/>
  <c r="L59" s="1"/>
  <c r="O55" i="7"/>
  <c r="P55" s="1"/>
  <c r="R55" s="1"/>
  <c r="J57" i="9" s="1"/>
  <c r="J59" s="1"/>
  <c r="O37" i="7"/>
  <c r="P37" s="1"/>
  <c r="O42"/>
  <c r="P42" s="1"/>
  <c r="O38"/>
  <c r="P38" s="1"/>
  <c r="R38" s="1"/>
  <c r="G57" i="9" s="1"/>
  <c r="O48" i="6"/>
  <c r="P48" s="1"/>
  <c r="O50"/>
  <c r="P50" s="1"/>
  <c r="R50" s="1"/>
  <c r="H67" i="9" s="1"/>
  <c r="H71" s="1"/>
  <c r="H69" s="1"/>
  <c r="O35" i="6"/>
  <c r="P35" s="1"/>
  <c r="O42"/>
  <c r="P42" s="1"/>
  <c r="O36"/>
  <c r="P36" s="1"/>
  <c r="O38"/>
  <c r="P38" s="1"/>
  <c r="R38" s="1"/>
  <c r="F67" i="9" s="1"/>
  <c r="F71" s="1"/>
  <c r="F69" s="1"/>
  <c r="O44" i="6"/>
  <c r="P44" s="1"/>
  <c r="R44" s="1"/>
  <c r="G67" i="9" s="1"/>
  <c r="G75" s="1"/>
  <c r="G69" s="1"/>
  <c r="O11" i="6"/>
  <c r="O8"/>
  <c r="P8" s="1"/>
  <c r="O14"/>
  <c r="P14" s="1"/>
  <c r="O9"/>
  <c r="P9" s="1"/>
  <c r="O10"/>
  <c r="O12"/>
  <c r="P12" s="1"/>
  <c r="O13"/>
  <c r="P13" s="1"/>
  <c r="O107" i="5"/>
  <c r="P107" s="1"/>
  <c r="O136"/>
  <c r="P136" s="1"/>
  <c r="O139"/>
  <c r="P139" s="1"/>
  <c r="O16"/>
  <c r="P16" s="1"/>
  <c r="O15"/>
  <c r="P15" s="1"/>
  <c r="O7"/>
  <c r="O24"/>
  <c r="P24" s="1"/>
  <c r="O23"/>
  <c r="P23" s="1"/>
  <c r="O27"/>
  <c r="P27" s="1"/>
  <c r="R27" s="1"/>
  <c r="E27" i="9" s="1"/>
  <c r="E29" s="1"/>
  <c r="O31" i="5"/>
  <c r="P31" s="1"/>
  <c r="O33"/>
  <c r="P33" s="1"/>
  <c r="R33" s="1"/>
  <c r="F27" i="9" s="1"/>
  <c r="F29" s="1"/>
  <c r="O72" i="11"/>
  <c r="P72" s="1"/>
  <c r="O74"/>
  <c r="P74" s="1"/>
  <c r="R74" s="1"/>
  <c r="J48" i="9" s="1"/>
  <c r="J50" s="1"/>
  <c r="O58" i="11"/>
  <c r="P58" s="1"/>
  <c r="O60"/>
  <c r="P60" s="1"/>
  <c r="O57"/>
  <c r="P57" s="1"/>
  <c r="O59"/>
  <c r="P59" s="1"/>
  <c r="O62"/>
  <c r="P62" s="1"/>
  <c r="R62" s="1"/>
  <c r="H48" i="9" s="1"/>
  <c r="H50" s="1"/>
  <c r="O25" i="11"/>
  <c r="P25" s="1"/>
  <c r="O29"/>
  <c r="P29" s="1"/>
  <c r="O33"/>
  <c r="P33" s="1"/>
  <c r="O37"/>
  <c r="P37" s="1"/>
  <c r="O28"/>
  <c r="P28" s="1"/>
  <c r="O32"/>
  <c r="P32" s="1"/>
  <c r="O36"/>
  <c r="P36" s="1"/>
  <c r="O27"/>
  <c r="P27" s="1"/>
  <c r="O31"/>
  <c r="P31" s="1"/>
  <c r="O35"/>
  <c r="P35" s="1"/>
  <c r="O26"/>
  <c r="P26" s="1"/>
  <c r="O30"/>
  <c r="P30" s="1"/>
  <c r="O34"/>
  <c r="P34" s="1"/>
  <c r="O7"/>
  <c r="P7" s="1"/>
  <c r="O10"/>
  <c r="O12" i="12"/>
  <c r="O16" s="1"/>
  <c r="O15" s="1"/>
  <c r="O69" i="6"/>
  <c r="P69" s="1"/>
  <c r="R69" s="1"/>
  <c r="K67" i="9" s="1"/>
  <c r="K71" s="1"/>
  <c r="K69" s="1"/>
  <c r="O22" i="6"/>
  <c r="P22" s="1"/>
  <c r="O33" i="7"/>
  <c r="P33" s="1"/>
  <c r="R33" s="1"/>
  <c r="O81"/>
  <c r="P81" s="1"/>
  <c r="O7"/>
  <c r="P7" s="1"/>
  <c r="O121"/>
  <c r="P121" s="1"/>
  <c r="O108" i="5"/>
  <c r="P108" s="1"/>
  <c r="O114" i="7"/>
  <c r="O49"/>
  <c r="P49" s="1"/>
  <c r="R49" s="1"/>
  <c r="O26"/>
  <c r="O12"/>
  <c r="P12" s="1"/>
  <c r="O29" i="6"/>
  <c r="P29" s="1"/>
  <c r="O37" i="5"/>
  <c r="P37" s="1"/>
  <c r="O94"/>
  <c r="P94" s="1"/>
  <c r="O95" i="7"/>
  <c r="P95" s="1"/>
  <c r="O92"/>
  <c r="O91" i="11"/>
  <c r="P91" s="1"/>
  <c r="O89" i="6"/>
  <c r="P89" s="1"/>
  <c r="R89" s="1"/>
  <c r="M67" i="9" s="1"/>
  <c r="O78" i="11"/>
  <c r="P78" s="1"/>
  <c r="O110" i="5"/>
  <c r="P110" s="1"/>
  <c r="R110" s="1"/>
  <c r="E37" i="9" s="1"/>
  <c r="E39" s="1"/>
  <c r="O46" i="11"/>
  <c r="P46" s="1"/>
  <c r="R46" s="1"/>
  <c r="F48" i="9" s="1"/>
  <c r="F50" s="1"/>
  <c r="O103" i="7"/>
  <c r="P103" s="1"/>
  <c r="O18" i="8"/>
  <c r="P18" s="1"/>
  <c r="R18" s="1"/>
  <c r="D22" i="9" s="1"/>
  <c r="D24" s="1"/>
  <c r="O85" i="7"/>
  <c r="P85" s="1"/>
  <c r="O67" i="6"/>
  <c r="P67" s="1"/>
  <c r="O89" i="5"/>
  <c r="P89" s="1"/>
  <c r="O21" i="7"/>
  <c r="P21" s="1"/>
  <c r="O81" i="5"/>
  <c r="P81" s="1"/>
  <c r="O106"/>
  <c r="P106" s="1"/>
  <c r="O47" i="7"/>
  <c r="P47" s="1"/>
  <c r="O8"/>
  <c r="P8" s="1"/>
  <c r="O111"/>
  <c r="O129" i="5"/>
  <c r="P129" s="1"/>
  <c r="O117"/>
  <c r="P117" s="1"/>
  <c r="R117" s="1"/>
  <c r="F37" i="9" s="1"/>
  <c r="F39" s="1"/>
  <c r="O123" i="7"/>
  <c r="P123" s="1"/>
  <c r="R123" s="1"/>
  <c r="C62" i="9" s="1"/>
  <c r="C64" s="1"/>
  <c r="O11" i="8"/>
  <c r="P11" s="1"/>
  <c r="O45" i="5"/>
  <c r="P45" s="1"/>
  <c r="O68" i="11"/>
  <c r="P68" s="1"/>
  <c r="R68" s="1"/>
  <c r="I48" i="9" s="1"/>
  <c r="I50" s="1"/>
  <c r="O15" i="6"/>
  <c r="P15" s="1"/>
  <c r="O104" i="7"/>
  <c r="P104" s="1"/>
  <c r="O49" i="5"/>
  <c r="P49" s="1"/>
  <c r="O15" i="8"/>
  <c r="P15" s="1"/>
  <c r="O93" i="6"/>
  <c r="P93" s="1"/>
  <c r="O90" i="5"/>
  <c r="P90" s="1"/>
  <c r="O92"/>
  <c r="P92" s="1"/>
  <c r="O56"/>
  <c r="P56" s="1"/>
  <c r="O115" i="7"/>
  <c r="P115" s="1"/>
  <c r="O91" i="5"/>
  <c r="P91" s="1"/>
  <c r="O58"/>
  <c r="P58" s="1"/>
  <c r="O69"/>
  <c r="P69" s="1"/>
  <c r="O57"/>
  <c r="P57" s="1"/>
  <c r="O55"/>
  <c r="P55" s="1"/>
  <c r="O96"/>
  <c r="O40"/>
  <c r="P40" s="1"/>
  <c r="R40" s="1"/>
  <c r="G27" i="9" s="1"/>
  <c r="G29" s="1"/>
  <c r="O18" i="6"/>
  <c r="O114" i="5"/>
  <c r="P114" s="1"/>
  <c r="O105" i="7"/>
  <c r="P105" s="1"/>
  <c r="R105" s="1"/>
  <c r="O23" i="6"/>
  <c r="P23" s="1"/>
  <c r="O96" i="7"/>
  <c r="P96" s="1"/>
  <c r="R96" s="1"/>
  <c r="O88" i="5"/>
  <c r="P88" s="1"/>
  <c r="O100"/>
  <c r="P100" s="1"/>
  <c r="O87" i="6"/>
  <c r="P87" s="1"/>
  <c r="O24" i="11"/>
  <c r="P24" s="1"/>
  <c r="O15"/>
  <c r="P15" s="1"/>
  <c r="O8" i="8"/>
  <c r="P8" s="1"/>
  <c r="O46" i="5"/>
  <c r="P46" s="1"/>
  <c r="O11" i="7"/>
  <c r="P11" s="1"/>
  <c r="O66" i="11"/>
  <c r="P66" s="1"/>
  <c r="O95" i="6"/>
  <c r="P95" s="1"/>
  <c r="R95" s="1"/>
  <c r="N67" i="9" s="1"/>
  <c r="N71" s="1"/>
  <c r="N69" s="1"/>
  <c r="O57" i="6"/>
  <c r="P57" s="1"/>
  <c r="R57" s="1"/>
  <c r="I67" i="9" s="1"/>
  <c r="I71" s="1"/>
  <c r="I69" s="1"/>
  <c r="O14" i="11"/>
  <c r="P14" s="1"/>
  <c r="O82" i="7"/>
  <c r="P82" s="1"/>
  <c r="O84"/>
  <c r="P84" s="1"/>
  <c r="O15" i="4"/>
  <c r="P15" s="1"/>
  <c r="O16" i="11"/>
  <c r="P16" s="1"/>
  <c r="O47" i="5"/>
  <c r="P47" s="1"/>
  <c r="O16" i="4"/>
  <c r="O37" s="1"/>
  <c r="O29"/>
  <c r="O38" s="1"/>
  <c r="O80" i="7"/>
  <c r="P80" s="1"/>
  <c r="O44" i="11"/>
  <c r="P44" s="1"/>
  <c r="O55" i="6"/>
  <c r="P55" s="1"/>
  <c r="O93" i="11"/>
  <c r="P93" s="1"/>
  <c r="O97"/>
  <c r="P97" s="1"/>
  <c r="O83" i="7"/>
  <c r="P83" s="1"/>
  <c r="O43"/>
  <c r="P43" s="1"/>
  <c r="R43" s="1"/>
  <c r="H57" i="9" s="1"/>
  <c r="O91" i="7"/>
  <c r="O61" i="6"/>
  <c r="P61" s="1"/>
  <c r="O121" i="5"/>
  <c r="P121" s="1"/>
  <c r="O92" i="11"/>
  <c r="P92" s="1"/>
  <c r="O81" i="6"/>
  <c r="P81" s="1"/>
  <c r="O124" i="5"/>
  <c r="P124" s="1"/>
  <c r="R124" s="1"/>
  <c r="G37" i="9" s="1"/>
  <c r="G39" s="1"/>
  <c r="O53" i="11"/>
  <c r="P53" s="1"/>
  <c r="R53" s="1"/>
  <c r="G48" i="9" s="1"/>
  <c r="G50" s="1"/>
  <c r="O23" i="4"/>
  <c r="P23" s="1"/>
  <c r="O31" i="6"/>
  <c r="P31" s="1"/>
  <c r="R31" s="1"/>
  <c r="E67" i="9" s="1"/>
  <c r="E71" s="1"/>
  <c r="E69" s="1"/>
  <c r="O25" i="6"/>
  <c r="P25" s="1"/>
  <c r="R25" s="1"/>
  <c r="D67" i="9" s="1"/>
  <c r="D71" s="1"/>
  <c r="D69" s="1"/>
  <c r="O77" i="11"/>
  <c r="P77" s="1"/>
  <c r="O16" i="6"/>
  <c r="P16" s="1"/>
  <c r="O128" i="5"/>
  <c r="P128" s="1"/>
  <c r="O83" i="6"/>
  <c r="P83" s="1"/>
  <c r="R83" s="1"/>
  <c r="L67" i="9" s="1"/>
  <c r="L71" s="1"/>
  <c r="L69" s="1"/>
  <c r="O63" i="6"/>
  <c r="P63" s="1"/>
  <c r="R63" s="1"/>
  <c r="J67" i="9" s="1"/>
  <c r="J71" s="1"/>
  <c r="J69" s="1"/>
  <c r="O89" i="7"/>
  <c r="P89" s="1"/>
  <c r="O7" i="6"/>
  <c r="O87" i="7"/>
  <c r="P87" s="1"/>
  <c r="O112"/>
  <c r="O109"/>
  <c r="O99" i="11"/>
  <c r="P99" s="1"/>
  <c r="P50" i="9" s="1"/>
  <c r="O72" i="5"/>
  <c r="O76"/>
  <c r="P76" s="1"/>
  <c r="O110" i="7"/>
  <c r="O99"/>
  <c r="P99" s="1"/>
  <c r="O79" i="5"/>
  <c r="P79" s="1"/>
  <c r="O102"/>
  <c r="P102" s="1"/>
  <c r="R102" s="1"/>
  <c r="D37" i="9" s="1"/>
  <c r="D39" s="1"/>
  <c r="O51" i="5"/>
  <c r="P51" s="1"/>
  <c r="R51" s="1"/>
  <c r="H27" i="9" s="1"/>
  <c r="H29" s="1"/>
  <c r="O40" i="11"/>
  <c r="P40" s="1"/>
  <c r="R40" s="1"/>
  <c r="E48" i="9" s="1"/>
  <c r="E50" s="1"/>
  <c r="O38" i="5"/>
  <c r="P38" s="1"/>
  <c r="O19" i="11"/>
  <c r="P19" s="1"/>
  <c r="O81"/>
  <c r="P81" s="1"/>
  <c r="R81" s="1"/>
  <c r="K48" i="9" s="1"/>
  <c r="K50" s="1"/>
  <c r="O90" i="7"/>
  <c r="P90" s="1"/>
  <c r="O88"/>
  <c r="P88" s="1"/>
  <c r="O132" i="5"/>
  <c r="P132" s="1"/>
  <c r="R132" s="1"/>
  <c r="H37" i="9" s="1"/>
  <c r="H39" s="1"/>
  <c r="O93" i="7"/>
  <c r="O51" i="11"/>
  <c r="P51" s="1"/>
  <c r="O44" i="5"/>
  <c r="P44" s="1"/>
  <c r="O93"/>
  <c r="P93" s="1"/>
  <c r="O22" i="7"/>
  <c r="P22" s="1"/>
  <c r="R22" s="1"/>
  <c r="O65" i="11"/>
  <c r="P65" s="1"/>
  <c r="O94" i="7"/>
  <c r="O113"/>
  <c r="P9" i="12"/>
  <c r="O48" i="5"/>
  <c r="P48" s="1"/>
  <c r="O14"/>
  <c r="P14" s="1"/>
  <c r="O95" i="11"/>
  <c r="P95" s="1"/>
  <c r="O32" i="7"/>
  <c r="P32" s="1"/>
  <c r="O86"/>
  <c r="P86" s="1"/>
  <c r="O9" i="4"/>
  <c r="P9" s="1"/>
  <c r="O77" i="5"/>
  <c r="P77" s="1"/>
  <c r="O61"/>
  <c r="P61" s="1"/>
  <c r="O78"/>
  <c r="P78" s="1"/>
  <c r="O94" i="11"/>
  <c r="P94" s="1"/>
  <c r="O48" i="7"/>
  <c r="P48" s="1"/>
  <c r="O96" i="11"/>
  <c r="P96" s="1"/>
  <c r="R87" l="1"/>
  <c r="L48" i="9" s="1"/>
  <c r="L50" s="1"/>
  <c r="L52" s="1"/>
  <c r="R139" i="5"/>
  <c r="I37" i="9" s="1"/>
  <c r="I39" s="1"/>
  <c r="H45"/>
  <c r="H43"/>
  <c r="H41"/>
  <c r="D45"/>
  <c r="D43"/>
  <c r="D41"/>
  <c r="F45"/>
  <c r="F43"/>
  <c r="F41"/>
  <c r="E45"/>
  <c r="E43"/>
  <c r="E41"/>
  <c r="G45"/>
  <c r="G43"/>
  <c r="G41"/>
  <c r="K52"/>
  <c r="K54"/>
  <c r="E52"/>
  <c r="E54"/>
  <c r="G52"/>
  <c r="G54"/>
  <c r="I52"/>
  <c r="I54"/>
  <c r="M75"/>
  <c r="M71"/>
  <c r="H54"/>
  <c r="H52"/>
  <c r="D59"/>
  <c r="E62"/>
  <c r="E64" s="1"/>
  <c r="H59"/>
  <c r="N57"/>
  <c r="N59" s="1"/>
  <c r="O57"/>
  <c r="O59" s="1"/>
  <c r="F54"/>
  <c r="F52"/>
  <c r="I57"/>
  <c r="I59" s="1"/>
  <c r="F57"/>
  <c r="F59" s="1"/>
  <c r="J54"/>
  <c r="J52"/>
  <c r="P26" i="7"/>
  <c r="P28" s="1"/>
  <c r="R28" s="1"/>
  <c r="O28"/>
  <c r="O117" s="1"/>
  <c r="P10" i="11"/>
  <c r="P102" s="1"/>
  <c r="O102"/>
  <c r="O136" i="7" s="1"/>
  <c r="P96" i="5"/>
  <c r="P141" s="1"/>
  <c r="O141"/>
  <c r="P7" i="6"/>
  <c r="P98" s="1"/>
  <c r="O98"/>
  <c r="P10"/>
  <c r="P100" s="1"/>
  <c r="O100"/>
  <c r="P11"/>
  <c r="P99" s="1"/>
  <c r="O99"/>
  <c r="O97"/>
  <c r="O138" i="7" s="1"/>
  <c r="P72" i="5"/>
  <c r="P83" s="1"/>
  <c r="O83"/>
  <c r="P7"/>
  <c r="O9"/>
  <c r="P8" i="4"/>
  <c r="P35" s="1"/>
  <c r="O11"/>
  <c r="P11" s="1"/>
  <c r="G59" i="9"/>
  <c r="P12" i="12"/>
  <c r="P16" s="1"/>
  <c r="P15" s="1"/>
  <c r="O35" i="4"/>
  <c r="O18" i="5"/>
  <c r="P18" s="1"/>
  <c r="R18" s="1"/>
  <c r="D27" i="9" s="1"/>
  <c r="D29" s="1"/>
  <c r="P29" i="4"/>
  <c r="P38" s="1"/>
  <c r="P16"/>
  <c r="P37" s="1"/>
  <c r="O19"/>
  <c r="P19" s="1"/>
  <c r="R19" s="1"/>
  <c r="D4" i="9" s="1"/>
  <c r="O25" i="4"/>
  <c r="P25" s="1"/>
  <c r="O21" i="8"/>
  <c r="O133" i="7" s="1"/>
  <c r="P36" i="4"/>
  <c r="O36"/>
  <c r="P18" i="6"/>
  <c r="O31" i="4"/>
  <c r="P31" s="1"/>
  <c r="R31" s="1"/>
  <c r="F4" i="9" s="1"/>
  <c r="O132" i="7"/>
  <c r="P21" i="8"/>
  <c r="P133" i="7" s="1"/>
  <c r="I24" i="9" s="1"/>
  <c r="R11" i="8"/>
  <c r="C22" i="9" s="1"/>
  <c r="C24" s="1"/>
  <c r="B24" s="1"/>
  <c r="R12" i="7"/>
  <c r="R19" i="11"/>
  <c r="D48" i="9" s="1"/>
  <c r="D50" s="1"/>
  <c r="L54" l="1"/>
  <c r="P127" i="7"/>
  <c r="P137" s="1"/>
  <c r="P64" i="9" s="1"/>
  <c r="P117" i="7"/>
  <c r="I45" i="9"/>
  <c r="I41"/>
  <c r="I43"/>
  <c r="M69"/>
  <c r="E57"/>
  <c r="E59" s="1"/>
  <c r="F62"/>
  <c r="F64" s="1"/>
  <c r="C57"/>
  <c r="C59" s="1"/>
  <c r="B59" s="1"/>
  <c r="D62"/>
  <c r="D64" s="1"/>
  <c r="D54"/>
  <c r="D52"/>
  <c r="F12"/>
  <c r="F10"/>
  <c r="F14"/>
  <c r="B14" s="1"/>
  <c r="D8"/>
  <c r="D10"/>
  <c r="D12"/>
  <c r="R96" i="5"/>
  <c r="C37" i="9" s="1"/>
  <c r="C39" s="1"/>
  <c r="R10" i="11"/>
  <c r="C48" i="9" s="1"/>
  <c r="C50" s="1"/>
  <c r="P136" i="7"/>
  <c r="N50" i="9" s="1"/>
  <c r="O63" i="5"/>
  <c r="O143" s="1"/>
  <c r="O134" i="7" s="1"/>
  <c r="P97" i="6"/>
  <c r="P138" i="7" s="1"/>
  <c r="P69" i="9" s="1"/>
  <c r="R72" i="5"/>
  <c r="R12" i="12"/>
  <c r="C17" i="9" s="1"/>
  <c r="C19" s="1"/>
  <c r="B19" s="1"/>
  <c r="P34" i="4"/>
  <c r="R18" i="6"/>
  <c r="C67" i="9" s="1"/>
  <c r="R25" i="4"/>
  <c r="E4" i="9" s="1"/>
  <c r="O34" i="4"/>
  <c r="O131" i="7" s="1"/>
  <c r="O127"/>
  <c r="O137" s="1"/>
  <c r="P9" i="5"/>
  <c r="P132" i="7"/>
  <c r="I19" i="9" s="1"/>
  <c r="R11" i="4"/>
  <c r="C4" i="9" s="1"/>
  <c r="P131" i="7" l="1"/>
  <c r="I5" i="9"/>
  <c r="B39"/>
  <c r="C45"/>
  <c r="B45" s="1"/>
  <c r="C43"/>
  <c r="B43" s="1"/>
  <c r="C41"/>
  <c r="B41" s="1"/>
  <c r="B64"/>
  <c r="O64" s="1"/>
  <c r="Q64" s="1"/>
  <c r="C73"/>
  <c r="B73" s="1"/>
  <c r="C71"/>
  <c r="C75"/>
  <c r="B75" s="1"/>
  <c r="C32"/>
  <c r="C34" s="1"/>
  <c r="B34" s="1"/>
  <c r="C54"/>
  <c r="B54" s="1"/>
  <c r="C52"/>
  <c r="B52" s="1"/>
  <c r="F6"/>
  <c r="E10"/>
  <c r="E12"/>
  <c r="E8"/>
  <c r="C8"/>
  <c r="C12"/>
  <c r="C10"/>
  <c r="D6"/>
  <c r="P63" i="5"/>
  <c r="O140" i="7"/>
  <c r="P142" s="1"/>
  <c r="R9" i="5"/>
  <c r="C27" i="9" s="1"/>
  <c r="C29" s="1"/>
  <c r="B29" s="1"/>
  <c r="P143" i="5" l="1"/>
  <c r="P134" i="7" s="1"/>
  <c r="P140" s="1"/>
  <c r="D80" i="9" s="1"/>
  <c r="B50"/>
  <c r="O50" s="1"/>
  <c r="B71"/>
  <c r="B78" s="1"/>
  <c r="C69"/>
  <c r="B69" s="1"/>
  <c r="B12"/>
  <c r="B10"/>
  <c r="B8"/>
  <c r="C6"/>
  <c r="E6"/>
  <c r="B6" l="1"/>
  <c r="B77" l="1"/>
  <c r="B80" s="1"/>
  <c r="E80" s="1"/>
</calcChain>
</file>

<file path=xl/sharedStrings.xml><?xml version="1.0" encoding="utf-8"?>
<sst xmlns="http://schemas.openxmlformats.org/spreadsheetml/2006/main" count="1611" uniqueCount="742">
  <si>
    <t>REG NO</t>
  </si>
  <si>
    <t>DESCRIPTION</t>
  </si>
  <si>
    <t>VOTE</t>
  </si>
  <si>
    <t>DISTANCE</t>
  </si>
  <si>
    <t>FUEL</t>
  </si>
  <si>
    <t>LABOUR</t>
  </si>
  <si>
    <t>INSURANCE</t>
  </si>
  <si>
    <t>MATERIAL</t>
  </si>
  <si>
    <t>DEPRECIATION</t>
  </si>
  <si>
    <t>RENTAL</t>
  </si>
  <si>
    <t>LIC</t>
  </si>
  <si>
    <t>TAR/CODE</t>
  </si>
  <si>
    <t>TARIFF</t>
  </si>
  <si>
    <t>SUB TOTAL</t>
  </si>
  <si>
    <t>SUNDRY</t>
  </si>
  <si>
    <t>TOTAL</t>
  </si>
  <si>
    <t>TRAILERS</t>
  </si>
  <si>
    <t>TRAILER</t>
  </si>
  <si>
    <t>TRACTORS</t>
  </si>
  <si>
    <t>SUMMARY</t>
  </si>
  <si>
    <t>MM</t>
  </si>
  <si>
    <t>EEM</t>
  </si>
  <si>
    <t>CEM</t>
  </si>
  <si>
    <t>MDC</t>
  </si>
  <si>
    <t>GRANT TOTAL</t>
  </si>
  <si>
    <t>DLV 326 N</t>
  </si>
  <si>
    <t>JCB</t>
  </si>
  <si>
    <t>MACHINERY</t>
  </si>
  <si>
    <t>MAZDA 323</t>
  </si>
  <si>
    <t>BGC 439 N</t>
  </si>
  <si>
    <t>DLV 293 N</t>
  </si>
  <si>
    <t>DWD 352 N</t>
  </si>
  <si>
    <t>DZF 646 N</t>
  </si>
  <si>
    <t>FORD TRACTOR</t>
  </si>
  <si>
    <t>RAMSOMES</t>
  </si>
  <si>
    <t>NEW HOLLAND</t>
  </si>
  <si>
    <t>DNR 343 N</t>
  </si>
  <si>
    <t>DMS 580 N</t>
  </si>
  <si>
    <t>DMS 582 N</t>
  </si>
  <si>
    <t>DJY 946 N</t>
  </si>
  <si>
    <t>WATERTANKER</t>
  </si>
  <si>
    <t>HERSOFAM</t>
  </si>
  <si>
    <t>LAWNMOWER TRAIL</t>
  </si>
  <si>
    <t>CS</t>
  </si>
  <si>
    <t>COMPRESSOR</t>
  </si>
  <si>
    <t>TRUCKS H/VEH</t>
  </si>
  <si>
    <t>TRUCKS M/VEH</t>
  </si>
  <si>
    <t>DNK 346 N</t>
  </si>
  <si>
    <t>ATLAS COMPR</t>
  </si>
  <si>
    <t>DJH 087 N</t>
  </si>
  <si>
    <t>STORES</t>
  </si>
  <si>
    <t>W/SHOP</t>
  </si>
  <si>
    <t>DLG 098 N</t>
  </si>
  <si>
    <t>DLF 731 N</t>
  </si>
  <si>
    <t>DNB 893 N</t>
  </si>
  <si>
    <t>DLV 309 N</t>
  </si>
  <si>
    <t>DLV 304 N</t>
  </si>
  <si>
    <t>?</t>
  </si>
  <si>
    <t>DXV 047 N</t>
  </si>
  <si>
    <t>VENTER ELITE</t>
  </si>
  <si>
    <t>VENTER TRAILER</t>
  </si>
  <si>
    <t>LOWBED TRAILER</t>
  </si>
  <si>
    <t>FLAT DECK - SPIDER</t>
  </si>
  <si>
    <t>TRAILORS</t>
  </si>
  <si>
    <t>063</t>
  </si>
  <si>
    <t>103</t>
  </si>
  <si>
    <t>105</t>
  </si>
  <si>
    <t>133/134/135</t>
  </si>
  <si>
    <t>MDC05</t>
  </si>
  <si>
    <t>002/066/1222</t>
  </si>
  <si>
    <t>037/066/1222</t>
  </si>
  <si>
    <t>105/066/1222</t>
  </si>
  <si>
    <t>134/066/1222</t>
  </si>
  <si>
    <t>135/066/1222</t>
  </si>
  <si>
    <t>133/066/1222</t>
  </si>
  <si>
    <t>173/066/1222</t>
  </si>
  <si>
    <t>183/066/1222</t>
  </si>
  <si>
    <t>total</t>
  </si>
  <si>
    <t>70%</t>
  </si>
  <si>
    <t>30%</t>
  </si>
  <si>
    <t>063/066/1222</t>
  </si>
  <si>
    <t>103/066/1222</t>
  </si>
  <si>
    <t>073/066/1222</t>
  </si>
  <si>
    <t>083/066/1222</t>
  </si>
  <si>
    <t>093/066/1222</t>
  </si>
  <si>
    <t>totaal</t>
  </si>
  <si>
    <t>TOTAL TZN</t>
  </si>
  <si>
    <t>TOTAL MDC</t>
  </si>
  <si>
    <t>GRAND TOTAL</t>
  </si>
  <si>
    <t>km/l</t>
  </si>
  <si>
    <t>BOMAG</t>
  </si>
  <si>
    <t>WINGET DUMPER</t>
  </si>
  <si>
    <t>TOYOTA DYNAPAC</t>
  </si>
  <si>
    <t>GALLION</t>
  </si>
  <si>
    <t>WRIGHT 120G</t>
  </si>
  <si>
    <t>ATLAS COPCO</t>
  </si>
  <si>
    <t>MASSEY FERGUSON</t>
  </si>
  <si>
    <t>FERGUSON TRAILER</t>
  </si>
  <si>
    <t>POLE TRAILER</t>
  </si>
  <si>
    <t>FLEXIAN TRAILER</t>
  </si>
  <si>
    <t>BOMAG TRAILER</t>
  </si>
  <si>
    <t>VERMEER 620 BC</t>
  </si>
  <si>
    <t>WELDER TRAILER</t>
  </si>
  <si>
    <t>BCC 135 N</t>
  </si>
  <si>
    <t>DWD 351 N</t>
  </si>
  <si>
    <t>002</t>
  </si>
  <si>
    <t>WORKSHOP</t>
  </si>
  <si>
    <t>COMMUNITY SERVICES</t>
  </si>
  <si>
    <t>037</t>
  </si>
  <si>
    <t>173/183</t>
  </si>
  <si>
    <t>073/083/093</t>
  </si>
  <si>
    <t>037/078/1325</t>
  </si>
  <si>
    <t>037/066/1221</t>
  </si>
  <si>
    <t>037/078/1327</t>
  </si>
  <si>
    <t>037/066/1219</t>
  </si>
  <si>
    <t>037/064/1091</t>
  </si>
  <si>
    <t>037/078/1335</t>
  </si>
  <si>
    <t>037/066/1220</t>
  </si>
  <si>
    <t>037/056/1043</t>
  </si>
  <si>
    <t>037/078/1331</t>
  </si>
  <si>
    <t>003/066/1222</t>
  </si>
  <si>
    <t>006/066/1222</t>
  </si>
  <si>
    <t>003</t>
  </si>
  <si>
    <t>006</t>
  </si>
  <si>
    <t>BCC 136 N [063]</t>
  </si>
  <si>
    <t>BCC 137 N [063]</t>
  </si>
  <si>
    <t>DLG 101 N [063]</t>
  </si>
  <si>
    <t>DMS 578 N [063]</t>
  </si>
  <si>
    <t>DLG 112 N [063]</t>
  </si>
  <si>
    <t>DLG 104 N [063]</t>
  </si>
  <si>
    <t>DKN 792 N [105]</t>
  </si>
  <si>
    <t>DLF 729 N [103]</t>
  </si>
  <si>
    <t>UD 80 NISSAN</t>
  </si>
  <si>
    <t>DLG 106 N [093]</t>
  </si>
  <si>
    <t>nissan ud 70</t>
  </si>
  <si>
    <t>FHX 724 N [073]</t>
  </si>
  <si>
    <t>073</t>
  </si>
  <si>
    <t>083</t>
  </si>
  <si>
    <t>093</t>
  </si>
  <si>
    <t>DNB 899 N [063]</t>
  </si>
  <si>
    <t>BRS 390 L</t>
  </si>
  <si>
    <t>BSC 248 L</t>
  </si>
  <si>
    <t>BSC 243 L</t>
  </si>
  <si>
    <t>BSJ 334 L</t>
  </si>
  <si>
    <t>BST 681 L</t>
  </si>
  <si>
    <t>BSS 223 L</t>
  </si>
  <si>
    <t>SEDAN</t>
  </si>
  <si>
    <t xml:space="preserve">UD 90 </t>
  </si>
  <si>
    <t>UD 90</t>
  </si>
  <si>
    <t>8633     093</t>
  </si>
  <si>
    <t>8632      073</t>
  </si>
  <si>
    <t>COMPACTOR - NISSAN DIESSEL</t>
  </si>
  <si>
    <t>UD 85 NISSAN</t>
  </si>
  <si>
    <t>V0103</t>
  </si>
  <si>
    <t>V0111</t>
  </si>
  <si>
    <t>V0112</t>
  </si>
  <si>
    <t>V0115</t>
  </si>
  <si>
    <t>V0116</t>
  </si>
  <si>
    <t>V0124</t>
  </si>
  <si>
    <t>V0125</t>
  </si>
  <si>
    <t>V0128</t>
  </si>
  <si>
    <t>V0134</t>
  </si>
  <si>
    <t>V0135</t>
  </si>
  <si>
    <t>V0136</t>
  </si>
  <si>
    <t>V0139</t>
  </si>
  <si>
    <t>V0143</t>
  </si>
  <si>
    <t>V0144</t>
  </si>
  <si>
    <t>V0145</t>
  </si>
  <si>
    <t>V0147</t>
  </si>
  <si>
    <t>V0148</t>
  </si>
  <si>
    <t xml:space="preserve">MACHINERY </t>
  </si>
  <si>
    <t>DUMPER</t>
  </si>
  <si>
    <t>honey sucker - NISSAN DIESEL</t>
  </si>
  <si>
    <t>watertenker - NISSAN DIESEL</t>
  </si>
  <si>
    <t>DLV 286 N [063]</t>
  </si>
  <si>
    <t>DNR 342 N [063]</t>
  </si>
  <si>
    <t>DKX 035 N [063]</t>
  </si>
  <si>
    <t>BC2025 [063]</t>
  </si>
  <si>
    <t>BC3890 [063]</t>
  </si>
  <si>
    <t>BC2019 [063]</t>
  </si>
  <si>
    <t>BC4085 [063]</t>
  </si>
  <si>
    <t>DMS 569 N [063]</t>
  </si>
  <si>
    <t>DNB 886 N [063]</t>
  </si>
  <si>
    <t>DNP 901 N [063]</t>
  </si>
  <si>
    <t>DNB 889 N [063]</t>
  </si>
  <si>
    <t>DKN 793 N [063]</t>
  </si>
  <si>
    <t>DLF 737 N [063]</t>
  </si>
  <si>
    <t>DLF 682 N [063]</t>
  </si>
  <si>
    <t>DKX 038 N [063]</t>
  </si>
  <si>
    <t>DLV 291 N [063]</t>
  </si>
  <si>
    <t>DKX 039 N [063]</t>
  </si>
  <si>
    <t>FUEL             037-078-1325</t>
  </si>
  <si>
    <t>LABOUR             037-066-1221</t>
  </si>
  <si>
    <t>INSURANCE             037-078-1327</t>
  </si>
  <si>
    <t>MATERIAL             037-066-1219</t>
  </si>
  <si>
    <t>RENTAL             037-078-1331</t>
  </si>
  <si>
    <t>LICENCE             037-078-1335</t>
  </si>
  <si>
    <t>RECOVERY             037-056-1043</t>
  </si>
  <si>
    <t>SUNDRY             037-066-1220</t>
  </si>
  <si>
    <t>DEPRECIATION              037-064-1091</t>
  </si>
  <si>
    <t>RENTAL                  037-078-1331</t>
  </si>
  <si>
    <t>LICENCE                037-078-1335</t>
  </si>
  <si>
    <t>FUEL                           037-078-1325</t>
  </si>
  <si>
    <t>SUNDRY                    037-066-1220</t>
  </si>
  <si>
    <t>FUEL                        037-078-1325</t>
  </si>
  <si>
    <t>FUEL                  037-078-1325</t>
  </si>
  <si>
    <t>RENTAL                                                           037-078-1331</t>
  </si>
  <si>
    <t>FUEL                          037-078-1325</t>
  </si>
  <si>
    <t>SUNDRY                 037-066-1220</t>
  </si>
  <si>
    <t>MATERIAL                      037-066-1219</t>
  </si>
  <si>
    <t>V0149</t>
  </si>
  <si>
    <t>FCB 593 N [034]</t>
  </si>
  <si>
    <t>034</t>
  </si>
  <si>
    <t>BZN 604 L</t>
  </si>
  <si>
    <t>veh no</t>
  </si>
  <si>
    <t>amount</t>
  </si>
  <si>
    <t>7mde total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</si>
  <si>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</si>
  <si>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</si>
  <si>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</si>
  <si>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</si>
  <si>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</si>
  <si>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</si>
  <si>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</si>
  <si>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</si>
  <si>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</si>
  <si>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</si>
  <si>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</si>
  <si>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</si>
  <si>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</si>
  <si>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</si>
  <si>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</si>
  <si>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</si>
  <si>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</si>
  <si>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</si>
  <si>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</si>
  <si>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</si>
  <si>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</si>
  <si>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</si>
  <si>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</si>
  <si>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</si>
  <si>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294</t>
  </si>
  <si>
    <t>295</t>
  </si>
  <si>
    <t>296</t>
  </si>
  <si>
    <t>297</t>
  </si>
  <si>
    <t>/5</t>
  </si>
  <si>
    <t>7mde delging</t>
  </si>
  <si>
    <t>7mde rente</t>
  </si>
  <si>
    <t>delging 12 mnd</t>
  </si>
  <si>
    <t>rente 12mnd</t>
  </si>
  <si>
    <t>12mnd</t>
  </si>
  <si>
    <t>REDEMPTION</t>
  </si>
  <si>
    <t>INTEREST</t>
  </si>
  <si>
    <t>DISPOSALS</t>
  </si>
  <si>
    <t>CATERPILLAR</t>
  </si>
  <si>
    <t>CFC 703 L</t>
  </si>
  <si>
    <t>CFC 704 L</t>
  </si>
  <si>
    <t>034/066/1222</t>
  </si>
  <si>
    <t>V0150</t>
  </si>
  <si>
    <t>V0151</t>
  </si>
  <si>
    <t>VEHICLE BUDGET 2011-2012</t>
  </si>
  <si>
    <t>M/Benz</t>
  </si>
  <si>
    <t>CJF 828 L [057]</t>
  </si>
  <si>
    <t>057/066/1222</t>
  </si>
  <si>
    <t>057</t>
  </si>
  <si>
    <t>dept</t>
  </si>
  <si>
    <t>type</t>
  </si>
  <si>
    <t>2x4 LDV</t>
  </si>
  <si>
    <t>4X4 LDV</t>
  </si>
  <si>
    <t>4x4 LDV</t>
  </si>
  <si>
    <t>4 TON TRUCK</t>
  </si>
  <si>
    <t>WATER TANKER</t>
  </si>
  <si>
    <r>
      <t>21</t>
    </r>
    <r>
      <rPr>
        <sz val="8"/>
        <rFont val="Consolas"/>
        <family val="3"/>
      </rPr>
      <t>m³</t>
    </r>
    <r>
      <rPr>
        <sz val="8"/>
        <rFont val="Arial"/>
        <family val="2"/>
      </rPr>
      <t xml:space="preserve"> COMPACTOR</t>
    </r>
  </si>
  <si>
    <t>COMBI</t>
  </si>
  <si>
    <t>COM SERV</t>
  </si>
  <si>
    <t>SID</t>
  </si>
  <si>
    <t>ESI</t>
  </si>
  <si>
    <t>SUV</t>
  </si>
  <si>
    <t>VEHICLE BUDGET 2012-2013</t>
  </si>
  <si>
    <t>2c 2x4 LDV</t>
  </si>
  <si>
    <t>601  - 002</t>
  </si>
  <si>
    <t>649 - 006</t>
  </si>
  <si>
    <t>650 - 003</t>
  </si>
  <si>
    <t>4 COMBI</t>
  </si>
  <si>
    <t xml:space="preserve">1 SEDAN </t>
  </si>
  <si>
    <t>613 - 003</t>
  </si>
  <si>
    <t>617 - 006</t>
  </si>
  <si>
    <t>614-037</t>
  </si>
  <si>
    <t>644-037</t>
  </si>
  <si>
    <t>625-173</t>
  </si>
  <si>
    <t>6a CREW CAB</t>
  </si>
  <si>
    <t>670-173</t>
  </si>
  <si>
    <t>671-173</t>
  </si>
  <si>
    <t>672-173</t>
  </si>
  <si>
    <t>3a 4x4 LDV</t>
  </si>
  <si>
    <t>628-173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</si>
  <si>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</si>
  <si>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</si>
  <si>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</si>
  <si>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</si>
  <si>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</si>
  <si>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</si>
  <si>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</si>
  <si>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</si>
  <si>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</si>
  <si>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</si>
  <si>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</si>
  <si>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</si>
  <si>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</si>
  <si>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6a 4 TON TRUCK</t>
  </si>
  <si>
    <t>6c 4 TON CHERRY PICKER</t>
  </si>
  <si>
    <t>659</t>
  </si>
  <si>
    <t>661</t>
  </si>
  <si>
    <t>662</t>
  </si>
  <si>
    <t>663</t>
  </si>
  <si>
    <t>674</t>
  </si>
  <si>
    <t>675</t>
  </si>
  <si>
    <t>8b 8 TON TRUCK</t>
  </si>
  <si>
    <t>682</t>
  </si>
  <si>
    <t>8c 8 TON HI AB</t>
  </si>
  <si>
    <t>683</t>
  </si>
  <si>
    <t>684</t>
  </si>
  <si>
    <t>3b 4x4 LDV</t>
  </si>
  <si>
    <t>2b 2x4 LDV</t>
  </si>
  <si>
    <r>
      <t>5 1</t>
    </r>
    <r>
      <rPr>
        <b/>
        <sz val="8"/>
        <rFont val="Calibri"/>
        <family val="2"/>
      </rPr>
      <t>½</t>
    </r>
    <r>
      <rPr>
        <b/>
        <sz val="8"/>
        <rFont val="Consolas"/>
        <family val="3"/>
      </rPr>
      <t>-2 TON LDV</t>
    </r>
  </si>
  <si>
    <t>6b 4 TON TIPPER</t>
  </si>
  <si>
    <t>7 5 TON TIPPER</t>
  </si>
  <si>
    <t>153/066/1222</t>
  </si>
  <si>
    <t>V0152</t>
  </si>
  <si>
    <t>606-105</t>
  </si>
  <si>
    <t>651-105</t>
  </si>
  <si>
    <t>653-105</t>
  </si>
  <si>
    <t>654-105</t>
  </si>
  <si>
    <t>660-105</t>
  </si>
  <si>
    <t>665-105</t>
  </si>
  <si>
    <t>673-105</t>
  </si>
  <si>
    <t>677-105</t>
  </si>
  <si>
    <t>678-105</t>
  </si>
  <si>
    <t>153</t>
  </si>
  <si>
    <t>605-153</t>
  </si>
  <si>
    <t>DLF 728 N [144]</t>
  </si>
  <si>
    <t>DNR 351 N [144]</t>
  </si>
  <si>
    <t>DNP 896 N [144]</t>
  </si>
  <si>
    <t>DLV 287 N [144]</t>
  </si>
  <si>
    <t>602-133</t>
  </si>
  <si>
    <t>2a 2x4 LDV</t>
  </si>
  <si>
    <t>603-133</t>
  </si>
  <si>
    <t>604-133</t>
  </si>
  <si>
    <t>607-133</t>
  </si>
  <si>
    <t>626-133</t>
  </si>
  <si>
    <t>648-133</t>
  </si>
  <si>
    <t>3c 4x4 LDV</t>
  </si>
  <si>
    <t>657-133</t>
  </si>
  <si>
    <t>658-133</t>
  </si>
  <si>
    <r>
      <t>10 21</t>
    </r>
    <r>
      <rPr>
        <b/>
        <sz val="8"/>
        <rFont val="Calibri"/>
        <family val="2"/>
      </rPr>
      <t>m³ COMPACTOR</t>
    </r>
  </si>
  <si>
    <t>688-133</t>
  </si>
  <si>
    <t>608-073</t>
  </si>
  <si>
    <t>609-073</t>
  </si>
  <si>
    <t>610-073</t>
  </si>
  <si>
    <t>611-093</t>
  </si>
  <si>
    <t>612-083</t>
  </si>
  <si>
    <t>619-083</t>
  </si>
  <si>
    <t>621-073</t>
  </si>
  <si>
    <t>623-073</t>
  </si>
  <si>
    <t>624-073</t>
  </si>
  <si>
    <t>627-093</t>
  </si>
  <si>
    <t>645-073</t>
  </si>
  <si>
    <t>647-073</t>
  </si>
  <si>
    <t>664-073</t>
  </si>
  <si>
    <t>8a 8TON TIPPER</t>
  </si>
  <si>
    <t>687-073</t>
  </si>
  <si>
    <t>8e 8 TON HONEY SUCKER</t>
  </si>
  <si>
    <t>686-093</t>
  </si>
  <si>
    <t>680-073</t>
  </si>
  <si>
    <t>681-073</t>
  </si>
  <si>
    <t>NEW</t>
  </si>
  <si>
    <t>9 8 TON WATER TANKER</t>
  </si>
  <si>
    <t>NO</t>
  </si>
  <si>
    <t>veh</t>
  </si>
  <si>
    <t>model</t>
  </si>
  <si>
    <t>ITEM NO</t>
  </si>
  <si>
    <t>AMOUNT</t>
  </si>
  <si>
    <t>12 MONTHS</t>
  </si>
  <si>
    <t>km budget</t>
  </si>
  <si>
    <t>km actual 2010/2011</t>
  </si>
  <si>
    <t>budget 2012/2013</t>
  </si>
  <si>
    <t>price</t>
  </si>
  <si>
    <t>rental</t>
  </si>
  <si>
    <t>inter</t>
  </si>
  <si>
    <t>depre</t>
  </si>
  <si>
    <t>insurance</t>
  </si>
  <si>
    <t>lic</t>
  </si>
  <si>
    <t>1</t>
  </si>
  <si>
    <t>602</t>
  </si>
  <si>
    <t>133</t>
  </si>
  <si>
    <t>2a</t>
  </si>
  <si>
    <t>simpson motors</t>
  </si>
  <si>
    <t>2</t>
  </si>
  <si>
    <t>603</t>
  </si>
  <si>
    <t>2b</t>
  </si>
  <si>
    <t>3</t>
  </si>
  <si>
    <t>604</t>
  </si>
  <si>
    <t>4</t>
  </si>
  <si>
    <t>605</t>
  </si>
  <si>
    <t>053</t>
  </si>
  <si>
    <t>5</t>
  </si>
  <si>
    <t>642</t>
  </si>
  <si>
    <t>2x4 LDV [4x4 LDV]</t>
  </si>
  <si>
    <t>3b</t>
  </si>
  <si>
    <t>bb motors</t>
  </si>
  <si>
    <t>6</t>
  </si>
  <si>
    <t>608</t>
  </si>
  <si>
    <t>2c</t>
  </si>
  <si>
    <t>7</t>
  </si>
  <si>
    <t>609</t>
  </si>
  <si>
    <t>8</t>
  </si>
  <si>
    <t>610</t>
  </si>
  <si>
    <t>9</t>
  </si>
  <si>
    <t>611</t>
  </si>
  <si>
    <t>10</t>
  </si>
  <si>
    <t>612</t>
  </si>
  <si>
    <t>11</t>
  </si>
  <si>
    <t>613</t>
  </si>
  <si>
    <t>12</t>
  </si>
  <si>
    <t>606</t>
  </si>
  <si>
    <t>13</t>
  </si>
  <si>
    <t>643</t>
  </si>
  <si>
    <t>14</t>
  </si>
  <si>
    <t>614</t>
  </si>
  <si>
    <t>15</t>
  </si>
  <si>
    <t>628</t>
  </si>
  <si>
    <t>173</t>
  </si>
  <si>
    <t>3a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</si>
  <si>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</si>
  <si>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</si>
  <si>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</si>
  <si>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</si>
  <si>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</si>
  <si>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</si>
  <si>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</si>
  <si>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</si>
  <si>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</si>
  <si>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601</t>
  </si>
  <si>
    <t>25</t>
  </si>
  <si>
    <t>649</t>
  </si>
  <si>
    <t>292</t>
  </si>
  <si>
    <t>ntt toyota</t>
  </si>
  <si>
    <t>26</t>
  </si>
  <si>
    <t>650</t>
  </si>
  <si>
    <t>293</t>
  </si>
  <si>
    <t>27</t>
  </si>
  <si>
    <t>656</t>
  </si>
  <si>
    <t>6a</t>
  </si>
  <si>
    <t>28</t>
  </si>
  <si>
    <t>657</t>
  </si>
  <si>
    <t>29</t>
  </si>
  <si>
    <t>658</t>
  </si>
  <si>
    <t>30</t>
  </si>
  <si>
    <t>687</t>
  </si>
  <si>
    <t>8 TON WATER TANKER</t>
  </si>
  <si>
    <t>31</t>
  </si>
  <si>
    <t>688</t>
  </si>
  <si>
    <t>298</t>
  </si>
  <si>
    <t>21m³ COMPACTOR</t>
  </si>
  <si>
    <t>tzaneen swaarvoertuie</t>
  </si>
  <si>
    <t>32</t>
  </si>
  <si>
    <t>644</t>
  </si>
  <si>
    <t>33</t>
  </si>
  <si>
    <t>648</t>
  </si>
  <si>
    <t>3c</t>
  </si>
  <si>
    <t>34</t>
  </si>
  <si>
    <t>44</t>
  </si>
  <si>
    <t>4 TON CHERRY PICKER</t>
  </si>
  <si>
    <t>6c</t>
  </si>
  <si>
    <t>35</t>
  </si>
  <si>
    <t>45</t>
  </si>
  <si>
    <t>36</t>
  </si>
  <si>
    <t>660</t>
  </si>
  <si>
    <t>46</t>
  </si>
  <si>
    <t>37</t>
  </si>
  <si>
    <t>47</t>
  </si>
  <si>
    <t>38</t>
  </si>
  <si>
    <t>48</t>
  </si>
  <si>
    <t>39</t>
  </si>
  <si>
    <t>49</t>
  </si>
  <si>
    <t>40</t>
  </si>
  <si>
    <t>51</t>
  </si>
  <si>
    <t>8 TON HI AB</t>
  </si>
  <si>
    <t>8c</t>
  </si>
  <si>
    <t>41</t>
  </si>
  <si>
    <t>52</t>
  </si>
  <si>
    <t>42</t>
  </si>
  <si>
    <t>53</t>
  </si>
  <si>
    <t>8 TON TRUCK</t>
  </si>
  <si>
    <t>8b</t>
  </si>
  <si>
    <t>43</t>
  </si>
  <si>
    <t>55</t>
  </si>
  <si>
    <t>664</t>
  </si>
  <si>
    <t>72</t>
  </si>
  <si>
    <t>665</t>
  </si>
  <si>
    <t>73</t>
  </si>
  <si>
    <t>666</t>
  </si>
  <si>
    <t>74</t>
  </si>
  <si>
    <t>667</t>
  </si>
  <si>
    <t>75</t>
  </si>
  <si>
    <t>686</t>
  </si>
  <si>
    <t>115</t>
  </si>
  <si>
    <t>8 TON HONEY SUCKER</t>
  </si>
  <si>
    <t>8e</t>
  </si>
  <si>
    <t>673</t>
  </si>
  <si>
    <t>116</t>
  </si>
  <si>
    <t>4 TON TIPPER</t>
  </si>
  <si>
    <t>6b</t>
  </si>
  <si>
    <t>50</t>
  </si>
  <si>
    <t>668</t>
  </si>
  <si>
    <t>128</t>
  </si>
  <si>
    <t>129</t>
  </si>
  <si>
    <t>679</t>
  </si>
  <si>
    <t>131</t>
  </si>
  <si>
    <t>8 TON TIPPER</t>
  </si>
  <si>
    <t>8a</t>
  </si>
  <si>
    <t>669</t>
  </si>
  <si>
    <t>138</t>
  </si>
  <si>
    <t>54</t>
  </si>
  <si>
    <t>615</t>
  </si>
  <si>
    <t>142</t>
  </si>
  <si>
    <t>616</t>
  </si>
  <si>
    <t>143</t>
  </si>
  <si>
    <t>56</t>
  </si>
  <si>
    <t>617</t>
  </si>
  <si>
    <t>144</t>
  </si>
  <si>
    <t>57</t>
  </si>
  <si>
    <t>618</t>
  </si>
  <si>
    <t>145</t>
  </si>
  <si>
    <t>58</t>
  </si>
  <si>
    <t>645</t>
  </si>
  <si>
    <t>152</t>
  </si>
  <si>
    <t>59</t>
  </si>
  <si>
    <t>646</t>
  </si>
  <si>
    <t>60</t>
  </si>
  <si>
    <t>647</t>
  </si>
  <si>
    <t>154</t>
  </si>
  <si>
    <t>61</t>
  </si>
  <si>
    <t>651</t>
  </si>
  <si>
    <t>155</t>
  </si>
  <si>
    <t>1½-2 TON DYNA</t>
  </si>
  <si>
    <t>62</t>
  </si>
  <si>
    <t>652</t>
  </si>
  <si>
    <t>156</t>
  </si>
  <si>
    <t>63</t>
  </si>
  <si>
    <t>607</t>
  </si>
  <si>
    <t>158</t>
  </si>
  <si>
    <t>64</t>
  </si>
  <si>
    <t>619</t>
  </si>
  <si>
    <t>159</t>
  </si>
  <si>
    <t>65</t>
  </si>
  <si>
    <t>620</t>
  </si>
  <si>
    <t>160</t>
  </si>
  <si>
    <t>66</t>
  </si>
  <si>
    <t>621</t>
  </si>
  <si>
    <t>161</t>
  </si>
  <si>
    <t>67</t>
  </si>
  <si>
    <t>622</t>
  </si>
  <si>
    <t>162</t>
  </si>
  <si>
    <t>68</t>
  </si>
  <si>
    <t>676</t>
  </si>
  <si>
    <t>168</t>
  </si>
  <si>
    <t>5 TON TIPPER</t>
  </si>
  <si>
    <t>69</t>
  </si>
  <si>
    <t>677</t>
  </si>
  <si>
    <t>169</t>
  </si>
  <si>
    <t>70</t>
  </si>
  <si>
    <t>678</t>
  </si>
  <si>
    <t>170</t>
  </si>
  <si>
    <t>71</t>
  </si>
  <si>
    <t>623</t>
  </si>
  <si>
    <t>253</t>
  </si>
  <si>
    <t>624</t>
  </si>
  <si>
    <t>254</t>
  </si>
  <si>
    <t>625</t>
  </si>
  <si>
    <t>255</t>
  </si>
  <si>
    <t>626</t>
  </si>
  <si>
    <t>256</t>
  </si>
  <si>
    <t>627</t>
  </si>
  <si>
    <t>257</t>
  </si>
  <si>
    <t>76</t>
  </si>
  <si>
    <t>260</t>
  </si>
  <si>
    <t>77</t>
  </si>
  <si>
    <t>261</t>
  </si>
  <si>
    <t>78</t>
  </si>
  <si>
    <t>262</t>
  </si>
  <si>
    <t>79</t>
  </si>
  <si>
    <t>263</t>
  </si>
  <si>
    <t>80</t>
  </si>
  <si>
    <t>685</t>
  </si>
  <si>
    <t>110</t>
  </si>
  <si>
    <t>8d</t>
  </si>
  <si>
    <t>81</t>
  </si>
  <si>
    <t>653</t>
  </si>
  <si>
    <t>140</t>
  </si>
  <si>
    <t>1½ TON LDV</t>
  </si>
  <si>
    <t>82</t>
  </si>
  <si>
    <t>654</t>
  </si>
  <si>
    <t>146</t>
  </si>
  <si>
    <t>83</t>
  </si>
  <si>
    <t>655</t>
  </si>
  <si>
    <t>149</t>
  </si>
  <si>
    <t>84</t>
  </si>
  <si>
    <t>680</t>
  </si>
  <si>
    <t>202</t>
  </si>
  <si>
    <t>85</t>
  </si>
  <si>
    <t>681</t>
  </si>
  <si>
    <t>new</t>
  </si>
  <si>
    <t>86</t>
  </si>
  <si>
    <t>670</t>
  </si>
  <si>
    <t>CREW CAB</t>
  </si>
  <si>
    <t>87</t>
  </si>
  <si>
    <t>671</t>
  </si>
  <si>
    <t>88</t>
  </si>
  <si>
    <t>672</t>
  </si>
  <si>
    <t>615-063</t>
  </si>
  <si>
    <t>622-063</t>
  </si>
  <si>
    <t>642-063</t>
  </si>
  <si>
    <t>656-063</t>
  </si>
  <si>
    <t>685-063</t>
  </si>
  <si>
    <t>679-063</t>
  </si>
  <si>
    <t>676-063</t>
  </si>
  <si>
    <t>8d 8 TONWATER TANKER</t>
  </si>
  <si>
    <t>1-5 TLB</t>
  </si>
  <si>
    <t>2-5 ROLLER</t>
  </si>
  <si>
    <t>4-5 TIPPER TRUCK</t>
  </si>
  <si>
    <t>3-5 WATER TANKER</t>
  </si>
  <si>
    <t>5-5 CRANE TRUCK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</si>
  <si>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</si>
  <si>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</si>
  <si>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</si>
  <si>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</si>
  <si>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</si>
  <si>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</si>
  <si>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</si>
  <si>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</si>
  <si>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</si>
  <si>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</si>
  <si>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</si>
  <si>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TLB BELL 315 SJ 4X4</t>
  </si>
  <si>
    <t>ROLLER VOLVO SD100DC</t>
  </si>
  <si>
    <t>WATER TANKER ISUZU FSR800</t>
  </si>
  <si>
    <t>TIPPER TRUCK TATA 1518LPK</t>
  </si>
  <si>
    <t>CRANE TRUCK UD NISSAN</t>
  </si>
  <si>
    <t>1-5</t>
  </si>
  <si>
    <t>2-5</t>
  </si>
  <si>
    <t>3-5</t>
  </si>
  <si>
    <t>4-5</t>
  </si>
  <si>
    <t>5-5</t>
  </si>
  <si>
    <t xml:space="preserve">BELL EQUIPMENT </t>
  </si>
  <si>
    <t>TZN SWAARVOERTUIE</t>
  </si>
  <si>
    <t>REPUBLIC BUSH TRUCKS</t>
  </si>
  <si>
    <t>8a 8 TON TIPPER</t>
  </si>
  <si>
    <t>668-103</t>
  </si>
  <si>
    <t>616-103</t>
  </si>
  <si>
    <t>620-103</t>
  </si>
  <si>
    <t>655-103</t>
  </si>
  <si>
    <r>
      <t>5 1</t>
    </r>
    <r>
      <rPr>
        <b/>
        <sz val="8"/>
        <rFont val="Calibri"/>
        <family val="2"/>
      </rPr>
      <t>½</t>
    </r>
    <r>
      <rPr>
        <b/>
        <sz val="8"/>
        <rFont val="Consolas"/>
        <family val="3"/>
      </rPr>
      <t xml:space="preserve"> TON LDV</t>
    </r>
  </si>
  <si>
    <t>V0153</t>
  </si>
  <si>
    <t>V0154</t>
  </si>
  <si>
    <t>V0155</t>
  </si>
  <si>
    <t>V0156</t>
  </si>
  <si>
    <t>V0157</t>
  </si>
  <si>
    <t>V0158</t>
  </si>
  <si>
    <t>V0159</t>
  </si>
  <si>
    <t>V0160</t>
  </si>
  <si>
    <t>V0161</t>
  </si>
  <si>
    <t>V0162</t>
  </si>
  <si>
    <t>V0163</t>
  </si>
  <si>
    <t>V0164</t>
  </si>
  <si>
    <t>V0165</t>
  </si>
  <si>
    <t>V0166</t>
  </si>
  <si>
    <t>V0167</t>
  </si>
  <si>
    <t>V0168</t>
  </si>
  <si>
    <t>V0169</t>
  </si>
  <si>
    <t>V0170</t>
  </si>
  <si>
    <t>V0171</t>
  </si>
  <si>
    <t>V0172</t>
  </si>
  <si>
    <t>V0173</t>
  </si>
  <si>
    <t>V0174</t>
  </si>
  <si>
    <t>V0175</t>
  </si>
  <si>
    <t>V0176</t>
  </si>
  <si>
    <t>V0177</t>
  </si>
  <si>
    <t>V0178</t>
  </si>
  <si>
    <t>V0179</t>
  </si>
  <si>
    <t>V0180</t>
  </si>
  <si>
    <t>V0181</t>
  </si>
  <si>
    <t>V0182</t>
  </si>
  <si>
    <t>V0183</t>
  </si>
  <si>
    <t>V0184</t>
  </si>
  <si>
    <t>V0185</t>
  </si>
  <si>
    <t>V0186</t>
  </si>
  <si>
    <t>V0187</t>
  </si>
  <si>
    <t>V0188</t>
  </si>
  <si>
    <t>V0189</t>
  </si>
  <si>
    <t>V0190</t>
  </si>
  <si>
    <t>V0191</t>
  </si>
  <si>
    <t>V0192</t>
  </si>
  <si>
    <t>V0193</t>
  </si>
  <si>
    <t>60%</t>
  </si>
  <si>
    <t>10%</t>
  </si>
  <si>
    <t>Includes initial License and Registration costs</t>
  </si>
  <si>
    <t>Model</t>
  </si>
  <si>
    <t>Table</t>
  </si>
  <si>
    <t>Quote Number</t>
  </si>
  <si>
    <t>Parameters</t>
  </si>
  <si>
    <t>Monthly Rental incl VAT per vehicle</t>
  </si>
  <si>
    <t>VAT Claim</t>
  </si>
  <si>
    <t>Nissan UD 85B F/C</t>
  </si>
  <si>
    <t>8`10 A</t>
  </si>
  <si>
    <t>60 months</t>
  </si>
  <si>
    <t>Nissan UD 80B F/C</t>
  </si>
  <si>
    <t>8`10 B</t>
  </si>
  <si>
    <t>8`10 C</t>
  </si>
  <si>
    <t>8`10 D</t>
  </si>
  <si>
    <t>8`10 E</t>
  </si>
  <si>
    <t>9`10</t>
  </si>
  <si>
    <t>Toyota Dyna 4-093</t>
  </si>
  <si>
    <t>5`10</t>
  </si>
  <si>
    <t>Nissan UD 40A</t>
  </si>
  <si>
    <t>6`10 A</t>
  </si>
  <si>
    <t>6`10 B</t>
  </si>
  <si>
    <t>6`10 C</t>
  </si>
  <si>
    <t>Nissan UD 60B F/C</t>
  </si>
  <si>
    <t>7`10</t>
  </si>
  <si>
    <t>Nissan NP300 2.4i LWB 4X4</t>
  </si>
  <si>
    <t>3`10 A</t>
  </si>
  <si>
    <t>3`10 B</t>
  </si>
  <si>
    <t>3`10 C</t>
  </si>
  <si>
    <t>Toyota Quantum 2.7 14 seater bus</t>
  </si>
  <si>
    <t>4`10</t>
  </si>
  <si>
    <t>Chevrolet Aveo 1.6 L</t>
  </si>
  <si>
    <t>1`10</t>
  </si>
  <si>
    <t>Isuzu KB200i LWB Fleetside</t>
  </si>
  <si>
    <t>2`10 A</t>
  </si>
  <si>
    <t>2`10 B</t>
  </si>
  <si>
    <t>2`10 C</t>
  </si>
</sst>
</file>

<file path=xl/styles.xml><?xml version="1.0" encoding="utf-8"?>
<styleSheet xmlns="http://schemas.openxmlformats.org/spreadsheetml/2006/main">
  <numFmts count="8">
    <numFmt numFmtId="43" formatCode="_ * #,##0.00_ ;_ * \-#,##0.00_ ;_ * &quot;-&quot;??_ ;_ @_ "/>
    <numFmt numFmtId="164" formatCode="_(* #,##0.00_);_(* \(#,##0.00\);_(* &quot;-&quot;??_);_(@_)"/>
    <numFmt numFmtId="165" formatCode="0_);\(0\)"/>
    <numFmt numFmtId="166" formatCode="#,##0.00_ ;[Red]\-#,##0.00\ "/>
    <numFmt numFmtId="167" formatCode="#,##0;[Red]#,##0"/>
    <numFmt numFmtId="168" formatCode="_(* #,##0_);_(* \(#,##0\);_(* &quot;-&quot;??_);_(@_)"/>
    <numFmt numFmtId="169" formatCode="#,##0_ ;\-#,##0\ "/>
    <numFmt numFmtId="170" formatCode="&quot;R&quot;\ #,##0.00"/>
  </numFmts>
  <fonts count="16">
    <font>
      <sz val="10"/>
      <name val="Arial"/>
    </font>
    <font>
      <sz val="10"/>
      <name val="Arial"/>
      <family val="2"/>
    </font>
    <font>
      <b/>
      <u/>
      <sz val="8"/>
      <name val="Consolas"/>
      <family val="3"/>
    </font>
    <font>
      <sz val="8"/>
      <name val="Consolas"/>
      <family val="3"/>
    </font>
    <font>
      <b/>
      <sz val="8"/>
      <name val="Consolas"/>
      <family val="3"/>
    </font>
    <font>
      <b/>
      <sz val="8"/>
      <color indexed="62"/>
      <name val="Consolas"/>
      <family val="3"/>
    </font>
    <font>
      <sz val="8"/>
      <color indexed="12"/>
      <name val="Consolas"/>
      <family val="3"/>
    </font>
    <font>
      <sz val="8"/>
      <name val="Arial"/>
      <family val="2"/>
    </font>
    <font>
      <b/>
      <sz val="14"/>
      <name val="Arial"/>
      <family val="2"/>
    </font>
    <font>
      <b/>
      <sz val="8"/>
      <color rgb="FFFF0000"/>
      <name val="Consolas"/>
      <family val="3"/>
    </font>
    <font>
      <b/>
      <sz val="8"/>
      <name val="Calibri"/>
      <family val="2"/>
    </font>
    <font>
      <sz val="8"/>
      <color theme="1"/>
      <name val="Consolas"/>
      <family val="2"/>
    </font>
    <font>
      <b/>
      <sz val="8"/>
      <color theme="1"/>
      <name val="Consolas"/>
      <family val="3"/>
    </font>
    <font>
      <b/>
      <sz val="7"/>
      <name val="Calibri"/>
      <family val="2"/>
      <scheme val="minor"/>
    </font>
    <font>
      <sz val="10"/>
      <name val="Microsoft Sans Serif"/>
      <family val="2"/>
    </font>
    <font>
      <b/>
      <sz val="10"/>
      <name val="Microsoft Sans Serif"/>
      <family val="2"/>
    </font>
  </fonts>
  <fills count="2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thin">
        <color theme="2" tint="-0.24994659260841701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8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1" xfId="0" applyFont="1" applyFill="1" applyBorder="1"/>
    <xf numFmtId="0" fontId="4" fillId="0" borderId="1" xfId="0" applyFont="1" applyBorder="1"/>
    <xf numFmtId="167" fontId="3" fillId="0" borderId="1" xfId="0" applyNumberFormat="1" applyFont="1" applyBorder="1"/>
    <xf numFmtId="164" fontId="3" fillId="0" borderId="1" xfId="1" applyFont="1" applyBorder="1" applyAlignment="1"/>
    <xf numFmtId="0" fontId="4" fillId="2" borderId="1" xfId="0" applyFont="1" applyFill="1" applyBorder="1" applyAlignment="1">
      <alignment horizontal="center"/>
    </xf>
    <xf numFmtId="167" fontId="3" fillId="2" borderId="1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2" borderId="1" xfId="0" applyFont="1" applyFill="1" applyBorder="1"/>
    <xf numFmtId="164" fontId="3" fillId="2" borderId="1" xfId="1" applyFont="1" applyFill="1" applyBorder="1"/>
    <xf numFmtId="164" fontId="3" fillId="0" borderId="0" xfId="1" applyFont="1" applyFill="1" applyBorder="1"/>
    <xf numFmtId="167" fontId="4" fillId="0" borderId="1" xfId="0" applyNumberFormat="1" applyFont="1" applyBorder="1"/>
    <xf numFmtId="167" fontId="3" fillId="0" borderId="1" xfId="0" applyNumberFormat="1" applyFont="1" applyBorder="1" applyAlignment="1">
      <alignment horizontal="center"/>
    </xf>
    <xf numFmtId="167" fontId="3" fillId="0" borderId="0" xfId="0" applyNumberFormat="1" applyFont="1" applyFill="1" applyBorder="1"/>
    <xf numFmtId="167" fontId="3" fillId="0" borderId="0" xfId="0" applyNumberFormat="1" applyFont="1"/>
    <xf numFmtId="0" fontId="3" fillId="0" borderId="0" xfId="0" applyFont="1" applyFill="1"/>
    <xf numFmtId="0" fontId="4" fillId="0" borderId="0" xfId="0" applyFont="1" applyFill="1"/>
    <xf numFmtId="0" fontId="2" fillId="0" borderId="1" xfId="0" applyFont="1" applyFill="1" applyBorder="1"/>
    <xf numFmtId="0" fontId="3" fillId="0" borderId="0" xfId="0" applyFont="1" applyBorder="1"/>
    <xf numFmtId="0" fontId="3" fillId="0" borderId="1" xfId="0" applyFont="1" applyBorder="1"/>
    <xf numFmtId="164" fontId="3" fillId="0" borderId="1" xfId="1" applyFont="1" applyBorder="1"/>
    <xf numFmtId="167" fontId="3" fillId="0" borderId="0" xfId="0" applyNumberFormat="1" applyFont="1" applyBorder="1"/>
    <xf numFmtId="0" fontId="2" fillId="0" borderId="1" xfId="0" applyFont="1" applyBorder="1"/>
    <xf numFmtId="164" fontId="4" fillId="0" borderId="1" xfId="1" applyFont="1" applyBorder="1"/>
    <xf numFmtId="164" fontId="3" fillId="0" borderId="0" xfId="1" applyFont="1"/>
    <xf numFmtId="167" fontId="4" fillId="0" borderId="1" xfId="0" applyNumberFormat="1" applyFont="1" applyBorder="1" applyAlignment="1">
      <alignment horizontal="center"/>
    </xf>
    <xf numFmtId="167" fontId="3" fillId="0" borderId="0" xfId="0" applyNumberFormat="1" applyFont="1" applyAlignment="1">
      <alignment horizontal="center"/>
    </xf>
    <xf numFmtId="0" fontId="4" fillId="0" borderId="0" xfId="0" applyFont="1"/>
    <xf numFmtId="43" fontId="2" fillId="0" borderId="1" xfId="0" applyNumberFormat="1" applyFont="1" applyBorder="1"/>
    <xf numFmtId="0" fontId="2" fillId="0" borderId="0" xfId="0" applyFont="1" applyBorder="1"/>
    <xf numFmtId="0" fontId="3" fillId="0" borderId="1" xfId="0" applyFont="1" applyBorder="1" applyAlignment="1">
      <alignment horizontal="center"/>
    </xf>
    <xf numFmtId="164" fontId="3" fillId="0" borderId="0" xfId="1" applyFont="1" applyBorder="1"/>
    <xf numFmtId="167" fontId="3" fillId="0" borderId="1" xfId="1" applyNumberFormat="1" applyFont="1" applyBorder="1" applyAlignment="1">
      <alignment horizontal="center"/>
    </xf>
    <xf numFmtId="164" fontId="3" fillId="0" borderId="0" xfId="1" applyFont="1" applyBorder="1" applyAlignment="1">
      <alignment horizontal="center"/>
    </xf>
    <xf numFmtId="167" fontId="3" fillId="0" borderId="0" xfId="0" applyNumberFormat="1" applyFont="1" applyBorder="1" applyAlignment="1">
      <alignment horizontal="center"/>
    </xf>
    <xf numFmtId="167" fontId="3" fillId="0" borderId="0" xfId="0" applyNumberFormat="1" applyFont="1" applyFill="1" applyBorder="1" applyAlignment="1">
      <alignment horizontal="center"/>
    </xf>
    <xf numFmtId="167" fontId="3" fillId="0" borderId="0" xfId="0" applyNumberFormat="1" applyFont="1" applyFill="1" applyAlignment="1">
      <alignment horizontal="center"/>
    </xf>
    <xf numFmtId="164" fontId="4" fillId="0" borderId="0" xfId="1" applyFont="1" applyFill="1" applyBorder="1"/>
    <xf numFmtId="0" fontId="3" fillId="0" borderId="0" xfId="0" applyFont="1" applyFill="1" applyBorder="1"/>
    <xf numFmtId="0" fontId="4" fillId="0" borderId="1" xfId="0" applyFont="1" applyBorder="1" applyAlignment="1">
      <alignment horizontal="center"/>
    </xf>
    <xf numFmtId="164" fontId="3" fillId="0" borderId="1" xfId="1" applyFont="1" applyBorder="1" applyAlignment="1">
      <alignment horizontal="center"/>
    </xf>
    <xf numFmtId="49" fontId="4" fillId="0" borderId="1" xfId="0" quotePrefix="1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3" fontId="3" fillId="0" borderId="0" xfId="0" applyNumberFormat="1" applyFont="1"/>
    <xf numFmtId="0" fontId="4" fillId="0" borderId="2" xfId="0" applyFont="1" applyBorder="1"/>
    <xf numFmtId="164" fontId="4" fillId="0" borderId="3" xfId="1" applyFont="1" applyBorder="1"/>
    <xf numFmtId="0" fontId="4" fillId="0" borderId="4" xfId="0" applyFont="1" applyBorder="1"/>
    <xf numFmtId="164" fontId="4" fillId="0" borderId="5" xfId="1" applyFont="1" applyBorder="1"/>
    <xf numFmtId="0" fontId="4" fillId="0" borderId="6" xfId="0" applyFont="1" applyBorder="1"/>
    <xf numFmtId="164" fontId="4" fillId="0" borderId="7" xfId="1" applyFont="1" applyBorder="1"/>
    <xf numFmtId="164" fontId="3" fillId="0" borderId="0" xfId="1" applyFont="1" applyAlignment="1">
      <alignment horizontal="center"/>
    </xf>
    <xf numFmtId="164" fontId="3" fillId="0" borderId="1" xfId="1" quotePrefix="1" applyFont="1" applyBorder="1"/>
    <xf numFmtId="164" fontId="3" fillId="0" borderId="8" xfId="1" applyFont="1" applyBorder="1"/>
    <xf numFmtId="164" fontId="4" fillId="0" borderId="1" xfId="1" applyFont="1" applyFill="1" applyBorder="1"/>
    <xf numFmtId="164" fontId="4" fillId="0" borderId="8" xfId="1" applyFont="1" applyBorder="1"/>
    <xf numFmtId="164" fontId="4" fillId="0" borderId="0" xfId="1" applyFont="1" applyBorder="1" applyAlignment="1">
      <alignment horizontal="center"/>
    </xf>
    <xf numFmtId="0" fontId="4" fillId="0" borderId="0" xfId="0" applyFont="1" applyBorder="1"/>
    <xf numFmtId="164" fontId="4" fillId="0" borderId="0" xfId="1" quotePrefix="1" applyFont="1" applyBorder="1" applyAlignment="1">
      <alignment horizontal="center"/>
    </xf>
    <xf numFmtId="164" fontId="3" fillId="0" borderId="1" xfId="1" applyFont="1" applyFill="1" applyBorder="1"/>
    <xf numFmtId="164" fontId="3" fillId="0" borderId="1" xfId="1" applyNumberFormat="1" applyFont="1" applyBorder="1"/>
    <xf numFmtId="0" fontId="4" fillId="0" borderId="0" xfId="0" applyFont="1" applyBorder="1" applyAlignment="1">
      <alignment horizontal="center"/>
    </xf>
    <xf numFmtId="167" fontId="4" fillId="0" borderId="0" xfId="0" applyNumberFormat="1" applyFont="1" applyBorder="1" applyAlignment="1">
      <alignment horizontal="center"/>
    </xf>
    <xf numFmtId="164" fontId="4" fillId="0" borderId="0" xfId="1" applyFont="1" applyBorder="1"/>
    <xf numFmtId="0" fontId="4" fillId="0" borderId="0" xfId="0" quotePrefix="1" applyFont="1"/>
    <xf numFmtId="165" fontId="4" fillId="0" borderId="0" xfId="0" applyNumberFormat="1" applyFont="1" applyBorder="1" applyAlignment="1">
      <alignment horizontal="center"/>
    </xf>
    <xf numFmtId="164" fontId="4" fillId="0" borderId="0" xfId="1" applyFont="1" applyFill="1" applyBorder="1" applyAlignment="1">
      <alignment horizontal="center"/>
    </xf>
    <xf numFmtId="164" fontId="4" fillId="0" borderId="0" xfId="1" applyFont="1"/>
    <xf numFmtId="167" fontId="3" fillId="0" borderId="1" xfId="0" applyNumberFormat="1" applyFont="1" applyFill="1" applyBorder="1" applyAlignment="1">
      <alignment horizontal="center"/>
    </xf>
    <xf numFmtId="0" fontId="3" fillId="0" borderId="10" xfId="0" applyFont="1" applyBorder="1"/>
    <xf numFmtId="164" fontId="3" fillId="0" borderId="8" xfId="1" applyFont="1" applyFill="1" applyBorder="1"/>
    <xf numFmtId="164" fontId="3" fillId="0" borderId="0" xfId="1" applyFont="1" applyFill="1" applyBorder="1" applyAlignment="1">
      <alignment horizontal="center"/>
    </xf>
    <xf numFmtId="164" fontId="4" fillId="0" borderId="8" xfId="1" applyFont="1" applyFill="1" applyBorder="1"/>
    <xf numFmtId="164" fontId="4" fillId="0" borderId="0" xfId="1" quotePrefix="1" applyFont="1" applyFill="1" applyBorder="1" applyAlignment="1">
      <alignment horizontal="center"/>
    </xf>
    <xf numFmtId="0" fontId="4" fillId="0" borderId="0" xfId="0" quotePrefix="1" applyFont="1" applyBorder="1"/>
    <xf numFmtId="0" fontId="3" fillId="0" borderId="1" xfId="0" quotePrefix="1" applyFont="1" applyBorder="1"/>
    <xf numFmtId="0" fontId="3" fillId="0" borderId="1" xfId="0" applyFont="1" applyFill="1" applyBorder="1" applyAlignment="1">
      <alignment horizontal="center"/>
    </xf>
    <xf numFmtId="0" fontId="3" fillId="0" borderId="0" xfId="0" quotePrefix="1" applyFont="1" applyAlignment="1">
      <alignment horizontal="center"/>
    </xf>
    <xf numFmtId="164" fontId="4" fillId="0" borderId="1" xfId="1" applyFont="1" applyBorder="1" applyAlignment="1">
      <alignment horizontal="center"/>
    </xf>
    <xf numFmtId="164" fontId="3" fillId="0" borderId="1" xfId="1" quotePrefix="1" applyFont="1" applyBorder="1" applyAlignment="1">
      <alignment horizontal="center"/>
    </xf>
    <xf numFmtId="0" fontId="5" fillId="0" borderId="0" xfId="0" quotePrefix="1" applyFont="1"/>
    <xf numFmtId="0" fontId="5" fillId="0" borderId="0" xfId="0" applyFont="1"/>
    <xf numFmtId="10" fontId="3" fillId="0" borderId="0" xfId="0" applyNumberFormat="1" applyFont="1"/>
    <xf numFmtId="9" fontId="3" fillId="0" borderId="0" xfId="0" applyNumberFormat="1" applyFont="1"/>
    <xf numFmtId="164" fontId="6" fillId="0" borderId="0" xfId="0" quotePrefix="1" applyNumberFormat="1" applyFont="1"/>
    <xf numFmtId="0" fontId="3" fillId="0" borderId="1" xfId="0" applyFont="1" applyFill="1" applyBorder="1"/>
    <xf numFmtId="164" fontId="3" fillId="0" borderId="1" xfId="1" quotePrefix="1" applyFont="1" applyFill="1" applyBorder="1"/>
    <xf numFmtId="0" fontId="4" fillId="0" borderId="0" xfId="0" applyFont="1" applyFill="1" applyBorder="1"/>
    <xf numFmtId="164" fontId="3" fillId="0" borderId="0" xfId="0" applyNumberFormat="1" applyFont="1"/>
    <xf numFmtId="164" fontId="3" fillId="0" borderId="0" xfId="1" applyFont="1" applyFill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167" fontId="4" fillId="3" borderId="1" xfId="0" applyNumberFormat="1" applyFont="1" applyFill="1" applyBorder="1" applyAlignment="1">
      <alignment horizontal="center"/>
    </xf>
    <xf numFmtId="164" fontId="4" fillId="3" borderId="1" xfId="1" applyFont="1" applyFill="1" applyBorder="1"/>
    <xf numFmtId="164" fontId="4" fillId="3" borderId="1" xfId="1" applyFont="1" applyFill="1" applyBorder="1" applyAlignment="1">
      <alignment horizontal="center"/>
    </xf>
    <xf numFmtId="0" fontId="2" fillId="3" borderId="11" xfId="0" applyFont="1" applyFill="1" applyBorder="1"/>
    <xf numFmtId="0" fontId="2" fillId="3" borderId="12" xfId="0" applyFont="1" applyFill="1" applyBorder="1" applyAlignment="1">
      <alignment horizontal="center"/>
    </xf>
    <xf numFmtId="0" fontId="5" fillId="3" borderId="13" xfId="0" applyFont="1" applyFill="1" applyBorder="1"/>
    <xf numFmtId="0" fontId="5" fillId="3" borderId="9" xfId="0" applyFont="1" applyFill="1" applyBorder="1" applyAlignment="1">
      <alignment horizontal="center"/>
    </xf>
    <xf numFmtId="167" fontId="5" fillId="3" borderId="9" xfId="0" applyNumberFormat="1" applyFont="1" applyFill="1" applyBorder="1" applyAlignment="1">
      <alignment horizontal="center"/>
    </xf>
    <xf numFmtId="164" fontId="5" fillId="3" borderId="9" xfId="1" applyFont="1" applyFill="1" applyBorder="1" applyAlignment="1">
      <alignment horizontal="center"/>
    </xf>
    <xf numFmtId="0" fontId="4" fillId="3" borderId="13" xfId="0" applyFont="1" applyFill="1" applyBorder="1"/>
    <xf numFmtId="0" fontId="4" fillId="3" borderId="9" xfId="0" applyFont="1" applyFill="1" applyBorder="1" applyAlignment="1">
      <alignment horizontal="center"/>
    </xf>
    <xf numFmtId="167" fontId="4" fillId="3" borderId="9" xfId="0" applyNumberFormat="1" applyFont="1" applyFill="1" applyBorder="1" applyAlignment="1">
      <alignment horizontal="center"/>
    </xf>
    <xf numFmtId="164" fontId="4" fillId="3" borderId="9" xfId="1" applyFont="1" applyFill="1" applyBorder="1" applyAlignment="1">
      <alignment horizontal="center"/>
    </xf>
    <xf numFmtId="164" fontId="4" fillId="3" borderId="14" xfId="1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/>
    </xf>
    <xf numFmtId="167" fontId="4" fillId="4" borderId="1" xfId="0" applyNumberFormat="1" applyFont="1" applyFill="1" applyBorder="1" applyAlignment="1">
      <alignment horizontal="center"/>
    </xf>
    <xf numFmtId="164" fontId="4" fillId="4" borderId="1" xfId="1" applyFont="1" applyFill="1" applyBorder="1"/>
    <xf numFmtId="167" fontId="4" fillId="4" borderId="10" xfId="0" applyNumberFormat="1" applyFont="1" applyFill="1" applyBorder="1" applyAlignment="1">
      <alignment horizontal="center"/>
    </xf>
    <xf numFmtId="0" fontId="4" fillId="4" borderId="10" xfId="0" applyFont="1" applyFill="1" applyBorder="1"/>
    <xf numFmtId="167" fontId="3" fillId="4" borderId="1" xfId="0" applyNumberFormat="1" applyFont="1" applyFill="1" applyBorder="1" applyAlignment="1">
      <alignment horizontal="center"/>
    </xf>
    <xf numFmtId="164" fontId="3" fillId="4" borderId="1" xfId="0" applyNumberFormat="1" applyFont="1" applyFill="1" applyBorder="1"/>
    <xf numFmtId="164" fontId="3" fillId="4" borderId="1" xfId="1" applyFont="1" applyFill="1" applyBorder="1" applyAlignment="1">
      <alignment horizontal="center"/>
    </xf>
    <xf numFmtId="0" fontId="3" fillId="4" borderId="1" xfId="0" applyFont="1" applyFill="1" applyBorder="1"/>
    <xf numFmtId="164" fontId="4" fillId="4" borderId="1" xfId="0" applyNumberFormat="1" applyFont="1" applyFill="1" applyBorder="1"/>
    <xf numFmtId="0" fontId="2" fillId="4" borderId="1" xfId="0" applyFont="1" applyFill="1" applyBorder="1"/>
    <xf numFmtId="0" fontId="3" fillId="4" borderId="1" xfId="0" applyFont="1" applyFill="1" applyBorder="1" applyAlignment="1">
      <alignment horizontal="center"/>
    </xf>
    <xf numFmtId="164" fontId="5" fillId="0" borderId="0" xfId="1" applyFont="1" applyBorder="1" applyAlignment="1">
      <alignment horizontal="center"/>
    </xf>
    <xf numFmtId="164" fontId="5" fillId="0" borderId="0" xfId="1" applyFont="1"/>
    <xf numFmtId="0" fontId="4" fillId="3" borderId="1" xfId="0" applyFont="1" applyFill="1" applyBorder="1" applyAlignment="1">
      <alignment wrapText="1"/>
    </xf>
    <xf numFmtId="0" fontId="4" fillId="0" borderId="0" xfId="0" applyFont="1" applyFill="1" applyBorder="1" applyAlignment="1">
      <alignment horizontal="center"/>
    </xf>
    <xf numFmtId="167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justify" vertical="center" wrapText="1" shrinkToFit="1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/>
    </xf>
    <xf numFmtId="167" fontId="3" fillId="3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164" fontId="3" fillId="3" borderId="1" xfId="1" applyFont="1" applyFill="1" applyBorder="1"/>
    <xf numFmtId="164" fontId="3" fillId="3" borderId="1" xfId="1" applyFont="1" applyFill="1" applyBorder="1" applyAlignment="1">
      <alignment horizontal="center"/>
    </xf>
    <xf numFmtId="0" fontId="4" fillId="5" borderId="1" xfId="0" applyFont="1" applyFill="1" applyBorder="1"/>
    <xf numFmtId="0" fontId="2" fillId="5" borderId="1" xfId="0" applyFont="1" applyFill="1" applyBorder="1"/>
    <xf numFmtId="168" fontId="3" fillId="0" borderId="0" xfId="1" applyNumberFormat="1" applyFont="1" applyAlignment="1">
      <alignment horizontal="center"/>
    </xf>
    <xf numFmtId="43" fontId="3" fillId="3" borderId="1" xfId="0" applyNumberFormat="1" applyFont="1" applyFill="1" applyBorder="1"/>
    <xf numFmtId="164" fontId="3" fillId="3" borderId="1" xfId="0" applyNumberFormat="1" applyFont="1" applyFill="1" applyBorder="1"/>
    <xf numFmtId="168" fontId="4" fillId="5" borderId="1" xfId="1" applyNumberFormat="1" applyFont="1" applyFill="1" applyBorder="1" applyAlignment="1">
      <alignment horizontal="center"/>
    </xf>
    <xf numFmtId="168" fontId="3" fillId="5" borderId="1" xfId="1" applyNumberFormat="1" applyFont="1" applyFill="1" applyBorder="1" applyAlignment="1">
      <alignment horizontal="center"/>
    </xf>
    <xf numFmtId="164" fontId="3" fillId="5" borderId="1" xfId="1" applyFont="1" applyFill="1" applyBorder="1"/>
    <xf numFmtId="0" fontId="4" fillId="5" borderId="13" xfId="0" applyFont="1" applyFill="1" applyBorder="1"/>
    <xf numFmtId="0" fontId="4" fillId="5" borderId="9" xfId="0" applyFont="1" applyFill="1" applyBorder="1" applyAlignment="1">
      <alignment horizontal="center"/>
    </xf>
    <xf numFmtId="167" fontId="4" fillId="5" borderId="9" xfId="0" applyNumberFormat="1" applyFont="1" applyFill="1" applyBorder="1" applyAlignment="1">
      <alignment horizontal="center"/>
    </xf>
    <xf numFmtId="164" fontId="4" fillId="5" borderId="9" xfId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164" fontId="3" fillId="0" borderId="0" xfId="1" quotePrefix="1" applyFont="1" applyBorder="1" applyAlignment="1">
      <alignment horizontal="center"/>
    </xf>
    <xf numFmtId="43" fontId="3" fillId="0" borderId="0" xfId="0" applyNumberFormat="1" applyFont="1" applyFill="1"/>
    <xf numFmtId="164" fontId="4" fillId="0" borderId="0" xfId="1" applyFont="1" applyAlignment="1">
      <alignment horizontal="center"/>
    </xf>
    <xf numFmtId="0" fontId="4" fillId="3" borderId="1" xfId="0" applyFont="1" applyFill="1" applyBorder="1" applyAlignment="1">
      <alignment vertical="center" wrapText="1"/>
    </xf>
    <xf numFmtId="0" fontId="4" fillId="3" borderId="1" xfId="0" applyFont="1" applyFill="1" applyBorder="1" applyAlignment="1">
      <alignment vertical="center"/>
    </xf>
    <xf numFmtId="167" fontId="4" fillId="3" borderId="15" xfId="0" applyNumberFormat="1" applyFont="1" applyFill="1" applyBorder="1" applyAlignment="1">
      <alignment horizontal="center"/>
    </xf>
    <xf numFmtId="166" fontId="4" fillId="3" borderId="15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/>
    </xf>
    <xf numFmtId="0" fontId="4" fillId="0" borderId="11" xfId="0" applyFont="1" applyBorder="1"/>
    <xf numFmtId="0" fontId="4" fillId="0" borderId="16" xfId="0" applyFont="1" applyBorder="1" applyAlignment="1">
      <alignment horizontal="center"/>
    </xf>
    <xf numFmtId="167" fontId="4" fillId="0" borderId="13" xfId="0" applyNumberFormat="1" applyFont="1" applyBorder="1" applyAlignment="1">
      <alignment horizontal="center"/>
    </xf>
    <xf numFmtId="166" fontId="4" fillId="0" borderId="9" xfId="0" applyNumberFormat="1" applyFont="1" applyBorder="1" applyAlignment="1">
      <alignment horizontal="center"/>
    </xf>
    <xf numFmtId="164" fontId="9" fillId="0" borderId="0" xfId="1" applyFont="1"/>
    <xf numFmtId="0" fontId="7" fillId="0" borderId="17" xfId="0" applyFont="1" applyBorder="1" applyAlignment="1">
      <alignment horizontal="center"/>
    </xf>
    <xf numFmtId="166" fontId="7" fillId="0" borderId="17" xfId="0" applyNumberFormat="1" applyFont="1" applyBorder="1"/>
    <xf numFmtId="166" fontId="7" fillId="6" borderId="17" xfId="0" applyNumberFormat="1" applyFont="1" applyFill="1" applyBorder="1"/>
    <xf numFmtId="166" fontId="7" fillId="0" borderId="17" xfId="0" applyNumberFormat="1" applyFont="1" applyFill="1" applyBorder="1"/>
    <xf numFmtId="166" fontId="7" fillId="6" borderId="0" xfId="0" applyNumberFormat="1" applyFont="1" applyFill="1" applyBorder="1"/>
    <xf numFmtId="166" fontId="7" fillId="0" borderId="18" xfId="0" applyNumberFormat="1" applyFont="1" applyFill="1" applyBorder="1"/>
    <xf numFmtId="166" fontId="7" fillId="0" borderId="0" xfId="0" applyNumberFormat="1" applyFont="1" applyFill="1" applyBorder="1"/>
    <xf numFmtId="0" fontId="7" fillId="0" borderId="0" xfId="0" applyFont="1" applyFill="1"/>
    <xf numFmtId="0" fontId="7" fillId="0" borderId="0" xfId="0" applyFont="1"/>
    <xf numFmtId="0" fontId="7" fillId="7" borderId="17" xfId="0" quotePrefix="1" applyFont="1" applyFill="1" applyBorder="1" applyAlignment="1">
      <alignment horizontal="center"/>
    </xf>
    <xf numFmtId="166" fontId="7" fillId="7" borderId="17" xfId="0" applyNumberFormat="1" applyFont="1" applyFill="1" applyBorder="1"/>
    <xf numFmtId="166" fontId="7" fillId="7" borderId="17" xfId="0" quotePrefix="1" applyNumberFormat="1" applyFont="1" applyFill="1" applyBorder="1"/>
    <xf numFmtId="166" fontId="7" fillId="6" borderId="17" xfId="0" quotePrefix="1" applyNumberFormat="1" applyFont="1" applyFill="1" applyBorder="1"/>
    <xf numFmtId="166" fontId="7" fillId="7" borderId="0" xfId="0" applyNumberFormat="1" applyFont="1" applyFill="1"/>
    <xf numFmtId="0" fontId="7" fillId="7" borderId="17" xfId="0" applyFont="1" applyFill="1" applyBorder="1" applyAlignment="1">
      <alignment horizontal="center"/>
    </xf>
    <xf numFmtId="0" fontId="7" fillId="8" borderId="17" xfId="0" applyFont="1" applyFill="1" applyBorder="1" applyAlignment="1">
      <alignment horizontal="center"/>
    </xf>
    <xf numFmtId="166" fontId="7" fillId="8" borderId="17" xfId="0" applyNumberFormat="1" applyFont="1" applyFill="1" applyBorder="1"/>
    <xf numFmtId="166" fontId="7" fillId="8" borderId="0" xfId="0" applyNumberFormat="1" applyFont="1" applyFill="1" applyBorder="1"/>
    <xf numFmtId="166" fontId="7" fillId="8" borderId="17" xfId="0" quotePrefix="1" applyNumberFormat="1" applyFont="1" applyFill="1" applyBorder="1"/>
    <xf numFmtId="166" fontId="7" fillId="0" borderId="17" xfId="0" quotePrefix="1" applyNumberFormat="1" applyFont="1" applyFill="1" applyBorder="1"/>
    <xf numFmtId="166" fontId="7" fillId="0" borderId="0" xfId="0" applyNumberFormat="1" applyFont="1" applyFill="1"/>
    <xf numFmtId="0" fontId="7" fillId="0" borderId="0" xfId="0" applyFont="1" applyAlignment="1">
      <alignment horizontal="center"/>
    </xf>
    <xf numFmtId="166" fontId="7" fillId="0" borderId="0" xfId="0" applyNumberFormat="1" applyFont="1"/>
    <xf numFmtId="0" fontId="7" fillId="0" borderId="0" xfId="0" quotePrefix="1" applyFont="1" applyAlignment="1">
      <alignment horizontal="center"/>
    </xf>
    <xf numFmtId="166" fontId="8" fillId="0" borderId="0" xfId="0" applyNumberFormat="1" applyFont="1"/>
    <xf numFmtId="164" fontId="3" fillId="0" borderId="1" xfId="1" quotePrefix="1" applyFont="1" applyFill="1" applyBorder="1" applyAlignment="1">
      <alignment horizontal="center"/>
    </xf>
    <xf numFmtId="49" fontId="7" fillId="0" borderId="0" xfId="0" applyNumberFormat="1" applyFont="1" applyFill="1"/>
    <xf numFmtId="165" fontId="4" fillId="0" borderId="0" xfId="0" applyNumberFormat="1" applyFont="1" applyFill="1" applyBorder="1" applyAlignment="1">
      <alignment horizontal="center"/>
    </xf>
    <xf numFmtId="0" fontId="3" fillId="0" borderId="1" xfId="0" quotePrefix="1" applyFont="1" applyFill="1" applyBorder="1"/>
    <xf numFmtId="0" fontId="2" fillId="9" borderId="11" xfId="0" applyFont="1" applyFill="1" applyBorder="1"/>
    <xf numFmtId="0" fontId="2" fillId="9" borderId="12" xfId="0" applyFont="1" applyFill="1" applyBorder="1" applyAlignment="1">
      <alignment horizontal="center"/>
    </xf>
    <xf numFmtId="0" fontId="3" fillId="9" borderId="1" xfId="0" applyFont="1" applyFill="1" applyBorder="1" applyAlignment="1">
      <alignment horizontal="left"/>
    </xf>
    <xf numFmtId="167" fontId="3" fillId="9" borderId="1" xfId="0" applyNumberFormat="1" applyFont="1" applyFill="1" applyBorder="1" applyAlignment="1">
      <alignment horizontal="left"/>
    </xf>
    <xf numFmtId="0" fontId="3" fillId="9" borderId="1" xfId="0" applyFont="1" applyFill="1" applyBorder="1" applyAlignment="1">
      <alignment horizontal="left" vertical="center" wrapText="1" shrinkToFit="1"/>
    </xf>
    <xf numFmtId="0" fontId="3" fillId="9" borderId="1" xfId="0" applyFont="1" applyFill="1" applyBorder="1" applyAlignment="1">
      <alignment horizontal="left" vertical="center"/>
    </xf>
    <xf numFmtId="164" fontId="3" fillId="9" borderId="1" xfId="1" applyFont="1" applyFill="1" applyBorder="1" applyAlignment="1">
      <alignment horizontal="left"/>
    </xf>
    <xf numFmtId="164" fontId="4" fillId="9" borderId="0" xfId="1" quotePrefix="1" applyFont="1" applyFill="1" applyBorder="1" applyAlignment="1">
      <alignment horizontal="center"/>
    </xf>
    <xf numFmtId="0" fontId="4" fillId="9" borderId="1" xfId="0" applyFont="1" applyFill="1" applyBorder="1"/>
    <xf numFmtId="0" fontId="4" fillId="9" borderId="1" xfId="0" applyFont="1" applyFill="1" applyBorder="1" applyAlignment="1">
      <alignment horizontal="center"/>
    </xf>
    <xf numFmtId="167" fontId="4" fillId="9" borderId="1" xfId="0" applyNumberFormat="1" applyFont="1" applyFill="1" applyBorder="1" applyAlignment="1">
      <alignment horizontal="center"/>
    </xf>
    <xf numFmtId="0" fontId="4" fillId="9" borderId="1" xfId="0" applyFont="1" applyFill="1" applyBorder="1" applyAlignment="1">
      <alignment wrapText="1"/>
    </xf>
    <xf numFmtId="0" fontId="4" fillId="9" borderId="1" xfId="0" applyFont="1" applyFill="1" applyBorder="1" applyAlignment="1">
      <alignment vertical="center" wrapText="1"/>
    </xf>
    <xf numFmtId="0" fontId="4" fillId="9" borderId="1" xfId="0" applyFont="1" applyFill="1" applyBorder="1" applyAlignment="1">
      <alignment vertical="center"/>
    </xf>
    <xf numFmtId="164" fontId="4" fillId="9" borderId="1" xfId="1" applyFont="1" applyFill="1" applyBorder="1"/>
    <xf numFmtId="164" fontId="4" fillId="9" borderId="1" xfId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67" fontId="4" fillId="0" borderId="1" xfId="0" applyNumberFormat="1" applyFont="1" applyFill="1" applyBorder="1" applyAlignment="1">
      <alignment horizontal="center"/>
    </xf>
    <xf numFmtId="164" fontId="4" fillId="0" borderId="1" xfId="1" quotePrefix="1" applyFont="1" applyFill="1" applyBorder="1"/>
    <xf numFmtId="0" fontId="4" fillId="0" borderId="1" xfId="0" quotePrefix="1" applyFont="1" applyFill="1" applyBorder="1"/>
    <xf numFmtId="0" fontId="3" fillId="0" borderId="0" xfId="0" applyFont="1" applyFill="1" applyBorder="1" applyAlignment="1">
      <alignment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164" fontId="4" fillId="3" borderId="19" xfId="1" applyFont="1" applyFill="1" applyBorder="1" applyAlignment="1">
      <alignment horizontal="center"/>
    </xf>
    <xf numFmtId="164" fontId="4" fillId="3" borderId="20" xfId="1" applyFont="1" applyFill="1" applyBorder="1" applyAlignment="1">
      <alignment horizontal="center"/>
    </xf>
    <xf numFmtId="0" fontId="3" fillId="0" borderId="10" xfId="0" applyFont="1" applyFill="1" applyBorder="1"/>
    <xf numFmtId="0" fontId="4" fillId="0" borderId="21" xfId="0" quotePrefix="1" applyFont="1" applyFill="1" applyBorder="1"/>
    <xf numFmtId="0" fontId="4" fillId="0" borderId="21" xfId="0" applyFont="1" applyFill="1" applyBorder="1"/>
    <xf numFmtId="0" fontId="4" fillId="0" borderId="21" xfId="0" applyFont="1" applyFill="1" applyBorder="1" applyAlignment="1">
      <alignment horizontal="center"/>
    </xf>
    <xf numFmtId="167" fontId="4" fillId="0" borderId="21" xfId="0" applyNumberFormat="1" applyFont="1" applyFill="1" applyBorder="1" applyAlignment="1">
      <alignment horizontal="center"/>
    </xf>
    <xf numFmtId="164" fontId="4" fillId="0" borderId="21" xfId="1" applyFont="1" applyFill="1" applyBorder="1" applyAlignment="1">
      <alignment horizontal="center"/>
    </xf>
    <xf numFmtId="164" fontId="4" fillId="0" borderId="21" xfId="1" quotePrefix="1" applyFont="1" applyFill="1" applyBorder="1" applyAlignment="1">
      <alignment horizontal="center"/>
    </xf>
    <xf numFmtId="164" fontId="4" fillId="0" borderId="21" xfId="1" applyFont="1" applyFill="1" applyBorder="1"/>
    <xf numFmtId="49" fontId="11" fillId="0" borderId="0" xfId="0" applyNumberFormat="1" applyFont="1"/>
    <xf numFmtId="3" fontId="11" fillId="0" borderId="0" xfId="0" applyNumberFormat="1" applyFont="1" applyAlignment="1">
      <alignment horizontal="center"/>
    </xf>
    <xf numFmtId="169" fontId="11" fillId="0" borderId="0" xfId="1" applyNumberFormat="1" applyFont="1" applyAlignment="1">
      <alignment horizontal="center"/>
    </xf>
    <xf numFmtId="4" fontId="11" fillId="0" borderId="0" xfId="1" applyNumberFormat="1" applyFont="1" applyAlignment="1">
      <alignment horizontal="center"/>
    </xf>
    <xf numFmtId="4" fontId="11" fillId="11" borderId="0" xfId="0" applyNumberFormat="1" applyFont="1" applyFill="1"/>
    <xf numFmtId="4" fontId="11" fillId="12" borderId="0" xfId="0" applyNumberFormat="1" applyFont="1" applyFill="1"/>
    <xf numFmtId="4" fontId="11" fillId="13" borderId="0" xfId="0" applyNumberFormat="1" applyFont="1" applyFill="1"/>
    <xf numFmtId="4" fontId="11" fillId="0" borderId="0" xfId="0" applyNumberFormat="1" applyFont="1"/>
    <xf numFmtId="49" fontId="11" fillId="14" borderId="0" xfId="0" applyNumberFormat="1" applyFont="1" applyFill="1"/>
    <xf numFmtId="49" fontId="11" fillId="14" borderId="1" xfId="0" applyNumberFormat="1" applyFont="1" applyFill="1" applyBorder="1"/>
    <xf numFmtId="43" fontId="11" fillId="14" borderId="1" xfId="1" applyNumberFormat="1" applyFont="1" applyFill="1" applyBorder="1"/>
    <xf numFmtId="49" fontId="11" fillId="0" borderId="1" xfId="0" applyNumberFormat="1" applyFont="1" applyBorder="1"/>
    <xf numFmtId="3" fontId="11" fillId="0" borderId="1" xfId="0" applyNumberFormat="1" applyFont="1" applyBorder="1" applyAlignment="1">
      <alignment horizontal="center"/>
    </xf>
    <xf numFmtId="169" fontId="11" fillId="15" borderId="1" xfId="1" applyNumberFormat="1" applyFont="1" applyFill="1" applyBorder="1" applyAlignment="1">
      <alignment horizontal="center"/>
    </xf>
    <xf numFmtId="4" fontId="11" fillId="9" borderId="1" xfId="1" applyNumberFormat="1" applyFont="1" applyFill="1" applyBorder="1" applyAlignment="1">
      <alignment horizontal="center"/>
    </xf>
    <xf numFmtId="4" fontId="11" fillId="11" borderId="1" xfId="0" applyNumberFormat="1" applyFont="1" applyFill="1" applyBorder="1"/>
    <xf numFmtId="4" fontId="11" fillId="12" borderId="1" xfId="0" applyNumberFormat="1" applyFont="1" applyFill="1" applyBorder="1"/>
    <xf numFmtId="4" fontId="11" fillId="13" borderId="1" xfId="0" applyNumberFormat="1" applyFont="1" applyFill="1" applyBorder="1"/>
    <xf numFmtId="4" fontId="11" fillId="0" borderId="1" xfId="0" applyNumberFormat="1" applyFont="1" applyBorder="1"/>
    <xf numFmtId="49" fontId="11" fillId="5" borderId="0" xfId="0" applyNumberFormat="1" applyFont="1" applyFill="1"/>
    <xf numFmtId="49" fontId="11" fillId="5" borderId="1" xfId="0" applyNumberFormat="1" applyFont="1" applyFill="1" applyBorder="1"/>
    <xf numFmtId="43" fontId="11" fillId="5" borderId="1" xfId="1" applyNumberFormat="1" applyFont="1" applyFill="1" applyBorder="1"/>
    <xf numFmtId="49" fontId="11" fillId="16" borderId="0" xfId="0" applyNumberFormat="1" applyFont="1" applyFill="1"/>
    <xf numFmtId="49" fontId="11" fillId="16" borderId="1" xfId="0" applyNumberFormat="1" applyFont="1" applyFill="1" applyBorder="1"/>
    <xf numFmtId="43" fontId="11" fillId="16" borderId="1" xfId="1" applyNumberFormat="1" applyFont="1" applyFill="1" applyBorder="1"/>
    <xf numFmtId="49" fontId="11" fillId="4" borderId="0" xfId="0" applyNumberFormat="1" applyFont="1" applyFill="1"/>
    <xf numFmtId="49" fontId="12" fillId="4" borderId="1" xfId="0" applyNumberFormat="1" applyFont="1" applyFill="1" applyBorder="1"/>
    <xf numFmtId="49" fontId="11" fillId="4" borderId="1" xfId="0" applyNumberFormat="1" applyFont="1" applyFill="1" applyBorder="1"/>
    <xf numFmtId="43" fontId="11" fillId="4" borderId="1" xfId="1" applyNumberFormat="1" applyFont="1" applyFill="1" applyBorder="1"/>
    <xf numFmtId="49" fontId="11" fillId="11" borderId="0" xfId="0" applyNumberFormat="1" applyFont="1" applyFill="1"/>
    <xf numFmtId="49" fontId="11" fillId="11" borderId="1" xfId="0" applyNumberFormat="1" applyFont="1" applyFill="1" applyBorder="1"/>
    <xf numFmtId="43" fontId="11" fillId="11" borderId="1" xfId="1" applyNumberFormat="1" applyFont="1" applyFill="1" applyBorder="1"/>
    <xf numFmtId="49" fontId="11" fillId="17" borderId="0" xfId="0" applyNumberFormat="1" applyFont="1" applyFill="1"/>
    <xf numFmtId="49" fontId="12" fillId="17" borderId="1" xfId="0" applyNumberFormat="1" applyFont="1" applyFill="1" applyBorder="1"/>
    <xf numFmtId="49" fontId="11" fillId="17" borderId="1" xfId="0" applyNumberFormat="1" applyFont="1" applyFill="1" applyBorder="1"/>
    <xf numFmtId="4" fontId="11" fillId="17" borderId="1" xfId="1" applyNumberFormat="1" applyFont="1" applyFill="1" applyBorder="1"/>
    <xf numFmtId="43" fontId="11" fillId="17" borderId="1" xfId="1" applyNumberFormat="1" applyFont="1" applyFill="1" applyBorder="1"/>
    <xf numFmtId="49" fontId="11" fillId="18" borderId="0" xfId="0" applyNumberFormat="1" applyFont="1" applyFill="1"/>
    <xf numFmtId="49" fontId="11" fillId="18" borderId="1" xfId="0" applyNumberFormat="1" applyFont="1" applyFill="1" applyBorder="1"/>
    <xf numFmtId="43" fontId="11" fillId="18" borderId="1" xfId="1" applyNumberFormat="1" applyFont="1" applyFill="1" applyBorder="1"/>
    <xf numFmtId="49" fontId="11" fillId="19" borderId="0" xfId="0" applyNumberFormat="1" applyFont="1" applyFill="1"/>
    <xf numFmtId="49" fontId="11" fillId="19" borderId="1" xfId="0" applyNumberFormat="1" applyFont="1" applyFill="1" applyBorder="1"/>
    <xf numFmtId="43" fontId="11" fillId="19" borderId="1" xfId="1" applyNumberFormat="1" applyFont="1" applyFill="1" applyBorder="1"/>
    <xf numFmtId="49" fontId="11" fillId="7" borderId="0" xfId="0" applyNumberFormat="1" applyFont="1" applyFill="1"/>
    <xf numFmtId="49" fontId="11" fillId="7" borderId="1" xfId="0" applyNumberFormat="1" applyFont="1" applyFill="1" applyBorder="1"/>
    <xf numFmtId="43" fontId="11" fillId="7" borderId="1" xfId="1" applyNumberFormat="1" applyFont="1" applyFill="1" applyBorder="1"/>
    <xf numFmtId="49" fontId="11" fillId="20" borderId="0" xfId="0" applyNumberFormat="1" applyFont="1" applyFill="1"/>
    <xf numFmtId="49" fontId="11" fillId="20" borderId="1" xfId="0" applyNumberFormat="1" applyFont="1" applyFill="1" applyBorder="1"/>
    <xf numFmtId="43" fontId="11" fillId="20" borderId="1" xfId="1" applyNumberFormat="1" applyFont="1" applyFill="1" applyBorder="1"/>
    <xf numFmtId="49" fontId="11" fillId="10" borderId="0" xfId="0" applyNumberFormat="1" applyFont="1" applyFill="1"/>
    <xf numFmtId="49" fontId="11" fillId="10" borderId="1" xfId="0" applyNumberFormat="1" applyFont="1" applyFill="1" applyBorder="1"/>
    <xf numFmtId="43" fontId="11" fillId="10" borderId="1" xfId="1" applyNumberFormat="1" applyFont="1" applyFill="1" applyBorder="1"/>
    <xf numFmtId="49" fontId="11" fillId="21" borderId="0" xfId="0" applyNumberFormat="1" applyFont="1" applyFill="1"/>
    <xf numFmtId="49" fontId="11" fillId="21" borderId="1" xfId="0" applyNumberFormat="1" applyFont="1" applyFill="1" applyBorder="1"/>
    <xf numFmtId="43" fontId="11" fillId="21" borderId="1" xfId="1" applyNumberFormat="1" applyFont="1" applyFill="1" applyBorder="1"/>
    <xf numFmtId="49" fontId="11" fillId="8" borderId="0" xfId="0" applyNumberFormat="1" applyFont="1" applyFill="1"/>
    <xf numFmtId="49" fontId="11" fillId="8" borderId="1" xfId="0" applyNumberFormat="1" applyFont="1" applyFill="1" applyBorder="1"/>
    <xf numFmtId="43" fontId="11" fillId="8" borderId="1" xfId="1" applyNumberFormat="1" applyFont="1" applyFill="1" applyBorder="1"/>
    <xf numFmtId="49" fontId="11" fillId="22" borderId="0" xfId="0" applyNumberFormat="1" applyFont="1" applyFill="1"/>
    <xf numFmtId="49" fontId="11" fillId="22" borderId="1" xfId="0" applyNumberFormat="1" applyFont="1" applyFill="1" applyBorder="1"/>
    <xf numFmtId="43" fontId="11" fillId="22" borderId="1" xfId="1" applyNumberFormat="1" applyFont="1" applyFill="1" applyBorder="1"/>
    <xf numFmtId="49" fontId="11" fillId="6" borderId="0" xfId="0" applyNumberFormat="1" applyFont="1" applyFill="1"/>
    <xf numFmtId="49" fontId="11" fillId="6" borderId="1" xfId="0" applyNumberFormat="1" applyFont="1" applyFill="1" applyBorder="1"/>
    <xf numFmtId="43" fontId="11" fillId="6" borderId="1" xfId="1" applyNumberFormat="1" applyFont="1" applyFill="1" applyBorder="1"/>
    <xf numFmtId="49" fontId="11" fillId="23" borderId="0" xfId="0" applyNumberFormat="1" applyFont="1" applyFill="1"/>
    <xf numFmtId="49" fontId="11" fillId="23" borderId="1" xfId="0" applyNumberFormat="1" applyFont="1" applyFill="1" applyBorder="1"/>
    <xf numFmtId="43" fontId="11" fillId="23" borderId="1" xfId="1" applyNumberFormat="1" applyFont="1" applyFill="1" applyBorder="1"/>
    <xf numFmtId="49" fontId="11" fillId="9" borderId="0" xfId="0" applyNumberFormat="1" applyFont="1" applyFill="1"/>
    <xf numFmtId="49" fontId="11" fillId="9" borderId="1" xfId="0" applyNumberFormat="1" applyFont="1" applyFill="1" applyBorder="1"/>
    <xf numFmtId="43" fontId="11" fillId="9" borderId="1" xfId="1" applyNumberFormat="1" applyFont="1" applyFill="1" applyBorder="1"/>
    <xf numFmtId="49" fontId="11" fillId="24" borderId="0" xfId="0" applyNumberFormat="1" applyFont="1" applyFill="1"/>
    <xf numFmtId="49" fontId="11" fillId="24" borderId="1" xfId="0" applyNumberFormat="1" applyFont="1" applyFill="1" applyBorder="1"/>
    <xf numFmtId="43" fontId="11" fillId="24" borderId="1" xfId="1" applyNumberFormat="1" applyFont="1" applyFill="1" applyBorder="1"/>
    <xf numFmtId="49" fontId="11" fillId="13" borderId="0" xfId="0" applyNumberFormat="1" applyFont="1" applyFill="1"/>
    <xf numFmtId="49" fontId="11" fillId="13" borderId="1" xfId="0" applyNumberFormat="1" applyFont="1" applyFill="1" applyBorder="1"/>
    <xf numFmtId="43" fontId="11" fillId="13" borderId="1" xfId="1" applyNumberFormat="1" applyFont="1" applyFill="1" applyBorder="1"/>
    <xf numFmtId="43" fontId="11" fillId="0" borderId="0" xfId="1" applyNumberFormat="1" applyFont="1"/>
    <xf numFmtId="167" fontId="4" fillId="0" borderId="9" xfId="0" applyNumberFormat="1" applyFont="1" applyFill="1" applyBorder="1" applyAlignment="1">
      <alignment horizontal="center"/>
    </xf>
    <xf numFmtId="0" fontId="3" fillId="0" borderId="0" xfId="0" quotePrefix="1" applyFont="1" applyFill="1" applyBorder="1"/>
    <xf numFmtId="164" fontId="3" fillId="0" borderId="1" xfId="0" applyNumberFormat="1" applyFont="1" applyBorder="1"/>
    <xf numFmtId="164" fontId="3" fillId="9" borderId="0" xfId="1" applyFont="1" applyFill="1" applyBorder="1" applyAlignment="1">
      <alignment horizontal="center"/>
    </xf>
    <xf numFmtId="0" fontId="13" fillId="3" borderId="1" xfId="0" applyFont="1" applyFill="1" applyBorder="1"/>
    <xf numFmtId="0" fontId="13" fillId="3" borderId="1" xfId="0" applyFont="1" applyFill="1" applyBorder="1" applyAlignment="1">
      <alignment horizontal="center"/>
    </xf>
    <xf numFmtId="167" fontId="13" fillId="3" borderId="1" xfId="0" applyNumberFormat="1" applyFont="1" applyFill="1" applyBorder="1" applyAlignment="1">
      <alignment horizontal="center"/>
    </xf>
    <xf numFmtId="0" fontId="13" fillId="3" borderId="1" xfId="0" applyFont="1" applyFill="1" applyBorder="1" applyAlignment="1">
      <alignment wrapText="1"/>
    </xf>
    <xf numFmtId="0" fontId="13" fillId="3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vertical="center"/>
    </xf>
    <xf numFmtId="164" fontId="13" fillId="3" borderId="1" xfId="1" applyFont="1" applyFill="1" applyBorder="1"/>
    <xf numFmtId="164" fontId="13" fillId="3" borderId="10" xfId="1" applyFont="1" applyFill="1" applyBorder="1" applyAlignment="1">
      <alignment horizontal="center"/>
    </xf>
    <xf numFmtId="0" fontId="13" fillId="0" borderId="0" xfId="0" applyFont="1"/>
    <xf numFmtId="0" fontId="3" fillId="0" borderId="0" xfId="0" applyFont="1" applyFill="1" applyAlignment="1">
      <alignment horizontal="center"/>
    </xf>
    <xf numFmtId="0" fontId="2" fillId="0" borderId="0" xfId="0" applyFont="1" applyFill="1" applyBorder="1"/>
    <xf numFmtId="168" fontId="3" fillId="0" borderId="0" xfId="1" applyNumberFormat="1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center"/>
    </xf>
    <xf numFmtId="167" fontId="3" fillId="3" borderId="1" xfId="1" applyNumberFormat="1" applyFont="1" applyFill="1" applyBorder="1" applyAlignment="1">
      <alignment horizontal="center"/>
    </xf>
    <xf numFmtId="164" fontId="3" fillId="0" borderId="0" xfId="1" quotePrefix="1" applyFont="1" applyFill="1" applyBorder="1" applyAlignment="1">
      <alignment horizontal="center"/>
    </xf>
    <xf numFmtId="43" fontId="11" fillId="8" borderId="0" xfId="1" applyNumberFormat="1" applyFont="1" applyFill="1"/>
    <xf numFmtId="3" fontId="11" fillId="8" borderId="0" xfId="0" applyNumberFormat="1" applyFont="1" applyFill="1" applyAlignment="1">
      <alignment horizontal="center"/>
    </xf>
    <xf numFmtId="169" fontId="11" fillId="8" borderId="0" xfId="1" applyNumberFormat="1" applyFont="1" applyFill="1" applyAlignment="1">
      <alignment horizontal="center"/>
    </xf>
    <xf numFmtId="4" fontId="11" fillId="8" borderId="0" xfId="1" applyNumberFormat="1" applyFont="1" applyFill="1" applyAlignment="1">
      <alignment horizontal="center"/>
    </xf>
    <xf numFmtId="4" fontId="11" fillId="8" borderId="1" xfId="0" applyNumberFormat="1" applyFont="1" applyFill="1" applyBorder="1"/>
    <xf numFmtId="4" fontId="11" fillId="8" borderId="0" xfId="0" applyNumberFormat="1" applyFont="1" applyFill="1"/>
    <xf numFmtId="0" fontId="2" fillId="0" borderId="11" xfId="0" applyFont="1" applyFill="1" applyBorder="1"/>
    <xf numFmtId="0" fontId="2" fillId="0" borderId="12" xfId="0" applyFont="1" applyFill="1" applyBorder="1" applyAlignment="1">
      <alignment horizontal="center"/>
    </xf>
    <xf numFmtId="167" fontId="4" fillId="0" borderId="1" xfId="1" quotePrefix="1" applyNumberFormat="1" applyFont="1" applyBorder="1" applyAlignment="1">
      <alignment horizontal="center"/>
    </xf>
    <xf numFmtId="167" fontId="4" fillId="0" borderId="0" xfId="1" quotePrefix="1" applyNumberFormat="1" applyFont="1" applyFill="1" applyBorder="1" applyAlignment="1">
      <alignment horizontal="center"/>
    </xf>
    <xf numFmtId="164" fontId="3" fillId="25" borderId="1" xfId="1" quotePrefix="1" applyFont="1" applyFill="1" applyBorder="1"/>
    <xf numFmtId="43" fontId="3" fillId="0" borderId="0" xfId="0" applyNumberFormat="1" applyFont="1" applyFill="1" applyBorder="1"/>
    <xf numFmtId="0" fontId="1" fillId="0" borderId="0" xfId="0" applyFont="1"/>
    <xf numFmtId="0" fontId="14" fillId="0" borderId="0" xfId="0" applyFont="1" applyAlignment="1"/>
    <xf numFmtId="0" fontId="14" fillId="0" borderId="0" xfId="0" applyFont="1"/>
    <xf numFmtId="0" fontId="15" fillId="26" borderId="13" xfId="0" applyFont="1" applyFill="1" applyBorder="1" applyAlignment="1">
      <alignment horizontal="center"/>
    </xf>
    <xf numFmtId="0" fontId="15" fillId="26" borderId="22" xfId="0" applyFont="1" applyFill="1" applyBorder="1" applyAlignment="1">
      <alignment horizontal="center"/>
    </xf>
    <xf numFmtId="0" fontId="15" fillId="26" borderId="9" xfId="0" applyFont="1" applyFill="1" applyBorder="1" applyAlignment="1">
      <alignment horizontal="center" wrapText="1"/>
    </xf>
    <xf numFmtId="2" fontId="15" fillId="26" borderId="14" xfId="0" applyNumberFormat="1" applyFont="1" applyFill="1" applyBorder="1" applyAlignment="1">
      <alignment horizontal="center" wrapText="1"/>
    </xf>
    <xf numFmtId="0" fontId="14" fillId="0" borderId="23" xfId="0" applyFont="1" applyBorder="1"/>
    <xf numFmtId="0" fontId="14" fillId="0" borderId="24" xfId="0" applyFont="1" applyBorder="1"/>
    <xf numFmtId="1" fontId="14" fillId="0" borderId="25" xfId="0" applyNumberFormat="1" applyFont="1" applyBorder="1" applyAlignment="1">
      <alignment horizontal="right"/>
    </xf>
    <xf numFmtId="2" fontId="14" fillId="0" borderId="25" xfId="0" applyNumberFormat="1" applyFont="1" applyBorder="1" applyAlignment="1">
      <alignment horizontal="center"/>
    </xf>
    <xf numFmtId="170" fontId="14" fillId="0" borderId="25" xfId="0" applyNumberFormat="1" applyFont="1" applyBorder="1"/>
    <xf numFmtId="170" fontId="14" fillId="0" borderId="26" xfId="0" applyNumberFormat="1" applyFont="1" applyBorder="1"/>
    <xf numFmtId="170" fontId="1" fillId="0" borderId="0" xfId="0" applyNumberFormat="1" applyFont="1"/>
    <xf numFmtId="16" fontId="14" fillId="0" borderId="24" xfId="0" applyNumberFormat="1" applyFont="1" applyBorder="1"/>
    <xf numFmtId="1" fontId="14" fillId="0" borderId="24" xfId="0" applyNumberFormat="1" applyFont="1" applyBorder="1"/>
    <xf numFmtId="0" fontId="14" fillId="0" borderId="23" xfId="0" applyFont="1" applyBorder="1" applyAlignment="1">
      <alignment horizontal="left"/>
    </xf>
    <xf numFmtId="1" fontId="14" fillId="0" borderId="24" xfId="0" applyNumberFormat="1" applyFont="1" applyBorder="1" applyAlignment="1">
      <alignment horizontal="left"/>
    </xf>
    <xf numFmtId="0" fontId="14" fillId="0" borderId="27" xfId="0" applyFont="1" applyBorder="1"/>
    <xf numFmtId="0" fontId="14" fillId="0" borderId="28" xfId="0" applyNumberFormat="1" applyFont="1" applyBorder="1"/>
    <xf numFmtId="1" fontId="14" fillId="0" borderId="29" xfId="0" applyNumberFormat="1" applyFont="1" applyBorder="1" applyAlignment="1">
      <alignment horizontal="right"/>
    </xf>
    <xf numFmtId="2" fontId="14" fillId="0" borderId="29" xfId="0" applyNumberFormat="1" applyFont="1" applyBorder="1" applyAlignment="1">
      <alignment horizontal="center"/>
    </xf>
    <xf numFmtId="170" fontId="14" fillId="0" borderId="29" xfId="0" applyNumberFormat="1" applyFont="1" applyBorder="1"/>
    <xf numFmtId="170" fontId="14" fillId="0" borderId="30" xfId="0" applyNumberFormat="1" applyFont="1" applyBorder="1"/>
    <xf numFmtId="43" fontId="1" fillId="0" borderId="0" xfId="0" applyNumberFormat="1" applyFont="1"/>
    <xf numFmtId="43" fontId="15" fillId="26" borderId="13" xfId="0" applyNumberFormat="1" applyFont="1" applyFill="1" applyBorder="1" applyAlignment="1">
      <alignment horizontal="center"/>
    </xf>
    <xf numFmtId="43" fontId="15" fillId="26" borderId="22" xfId="0" applyNumberFormat="1" applyFont="1" applyFill="1" applyBorder="1" applyAlignment="1">
      <alignment horizontal="center"/>
    </xf>
    <xf numFmtId="43" fontId="15" fillId="26" borderId="9" xfId="0" applyNumberFormat="1" applyFont="1" applyFill="1" applyBorder="1" applyAlignment="1">
      <alignment horizontal="center" wrapText="1"/>
    </xf>
    <xf numFmtId="43" fontId="15" fillId="26" borderId="14" xfId="0" applyNumberFormat="1" applyFont="1" applyFill="1" applyBorder="1" applyAlignment="1">
      <alignment horizontal="center" wrapText="1"/>
    </xf>
    <xf numFmtId="43" fontId="14" fillId="0" borderId="23" xfId="0" applyNumberFormat="1" applyFont="1" applyBorder="1"/>
    <xf numFmtId="43" fontId="14" fillId="0" borderId="24" xfId="0" applyNumberFormat="1" applyFont="1" applyBorder="1"/>
    <xf numFmtId="43" fontId="14" fillId="0" borderId="25" xfId="0" applyNumberFormat="1" applyFont="1" applyBorder="1" applyAlignment="1">
      <alignment horizontal="right"/>
    </xf>
    <xf numFmtId="43" fontId="14" fillId="0" borderId="25" xfId="0" applyNumberFormat="1" applyFont="1" applyBorder="1" applyAlignment="1">
      <alignment horizontal="center"/>
    </xf>
    <xf numFmtId="43" fontId="14" fillId="0" borderId="25" xfId="0" applyNumberFormat="1" applyFont="1" applyBorder="1"/>
    <xf numFmtId="43" fontId="14" fillId="0" borderId="26" xfId="0" applyNumberFormat="1" applyFont="1" applyBorder="1"/>
    <xf numFmtId="43" fontId="14" fillId="0" borderId="23" xfId="0" applyNumberFormat="1" applyFont="1" applyBorder="1" applyAlignment="1">
      <alignment horizontal="left"/>
    </xf>
    <xf numFmtId="43" fontId="14" fillId="0" borderId="24" xfId="0" applyNumberFormat="1" applyFont="1" applyBorder="1" applyAlignment="1">
      <alignment horizontal="left"/>
    </xf>
    <xf numFmtId="43" fontId="14" fillId="0" borderId="27" xfId="0" applyNumberFormat="1" applyFont="1" applyBorder="1"/>
    <xf numFmtId="43" fontId="14" fillId="0" borderId="28" xfId="0" applyNumberFormat="1" applyFont="1" applyBorder="1"/>
    <xf numFmtId="43" fontId="14" fillId="0" borderId="29" xfId="0" applyNumberFormat="1" applyFont="1" applyBorder="1" applyAlignment="1">
      <alignment horizontal="right"/>
    </xf>
    <xf numFmtId="43" fontId="14" fillId="0" borderId="29" xfId="0" applyNumberFormat="1" applyFont="1" applyBorder="1" applyAlignment="1">
      <alignment horizontal="center"/>
    </xf>
    <xf numFmtId="43" fontId="14" fillId="0" borderId="29" xfId="0" applyNumberFormat="1" applyFont="1" applyBorder="1"/>
    <xf numFmtId="43" fontId="14" fillId="0" borderId="30" xfId="0" applyNumberFormat="1" applyFont="1" applyBorder="1"/>
    <xf numFmtId="43" fontId="14" fillId="0" borderId="0" xfId="0" applyNumberFormat="1" applyFont="1" applyBorder="1"/>
    <xf numFmtId="43" fontId="14" fillId="0" borderId="0" xfId="0" applyNumberFormat="1" applyFont="1" applyBorder="1" applyAlignment="1">
      <alignment horizontal="right"/>
    </xf>
    <xf numFmtId="43" fontId="14" fillId="0" borderId="0" xfId="0" applyNumberFormat="1" applyFont="1" applyBorder="1" applyAlignment="1">
      <alignment horizontal="center"/>
    </xf>
    <xf numFmtId="43" fontId="14" fillId="0" borderId="0" xfId="0" applyNumberFormat="1" applyFont="1" applyFill="1" applyBorder="1" applyAlignment="1">
      <alignment horizontal="center"/>
    </xf>
    <xf numFmtId="165" fontId="4" fillId="9" borderId="11" xfId="0" applyNumberFormat="1" applyFont="1" applyFill="1" applyBorder="1" applyAlignment="1">
      <alignment horizontal="center"/>
    </xf>
    <xf numFmtId="165" fontId="4" fillId="9" borderId="16" xfId="0" applyNumberFormat="1" applyFont="1" applyFill="1" applyBorder="1" applyAlignment="1">
      <alignment horizontal="center"/>
    </xf>
    <xf numFmtId="165" fontId="4" fillId="9" borderId="12" xfId="0" applyNumberFormat="1" applyFont="1" applyFill="1" applyBorder="1" applyAlignment="1">
      <alignment horizontal="center"/>
    </xf>
    <xf numFmtId="165" fontId="4" fillId="3" borderId="11" xfId="0" applyNumberFormat="1" applyFont="1" applyFill="1" applyBorder="1" applyAlignment="1">
      <alignment horizontal="center"/>
    </xf>
    <xf numFmtId="165" fontId="4" fillId="3" borderId="16" xfId="0" applyNumberFormat="1" applyFont="1" applyFill="1" applyBorder="1" applyAlignment="1">
      <alignment horizontal="center"/>
    </xf>
    <xf numFmtId="165" fontId="4" fillId="3" borderId="12" xfId="0" applyNumberFormat="1" applyFont="1" applyFill="1" applyBorder="1" applyAlignment="1">
      <alignment horizontal="center"/>
    </xf>
    <xf numFmtId="165" fontId="4" fillId="0" borderId="11" xfId="0" applyNumberFormat="1" applyFont="1" applyFill="1" applyBorder="1" applyAlignment="1">
      <alignment horizontal="center"/>
    </xf>
    <xf numFmtId="165" fontId="4" fillId="0" borderId="16" xfId="0" applyNumberFormat="1" applyFont="1" applyFill="1" applyBorder="1" applyAlignment="1">
      <alignment horizontal="center"/>
    </xf>
    <xf numFmtId="165" fontId="4" fillId="0" borderId="12" xfId="0" applyNumberFormat="1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8" enableFormatConditionsCalculation="0">
    <tabColor indexed="45"/>
  </sheetPr>
  <dimension ref="A1:S123"/>
  <sheetViews>
    <sheetView zoomScale="80" zoomScaleNormal="80" zoomScaleSheetLayoutView="100" workbookViewId="0">
      <pane xSplit="3" ySplit="3" topLeftCell="D4" activePane="bottomRight" state="frozen"/>
      <selection activeCell="B38" sqref="B38"/>
      <selection pane="topRight" activeCell="B38" sqref="B38"/>
      <selection pane="bottomLeft" activeCell="B38" sqref="B38"/>
      <selection pane="bottomRight" activeCell="N44" sqref="N43:N44"/>
    </sheetView>
  </sheetViews>
  <sheetFormatPr defaultColWidth="10" defaultRowHeight="11.25"/>
  <cols>
    <col min="1" max="1" width="27.140625" style="2" bestFit="1" customWidth="1"/>
    <col min="2" max="2" width="11.5703125" style="2" bestFit="1" customWidth="1"/>
    <col min="3" max="3" width="5.42578125" style="10" bestFit="1" customWidth="1"/>
    <col min="4" max="4" width="8.85546875" style="29" bestFit="1" customWidth="1"/>
    <col min="5" max="5" width="12.42578125" style="2" bestFit="1" customWidth="1"/>
    <col min="6" max="6" width="11.5703125" style="2" bestFit="1" customWidth="1"/>
    <col min="7" max="7" width="11.85546875" style="2" bestFit="1" customWidth="1"/>
    <col min="8" max="8" width="11.5703125" style="2" bestFit="1" customWidth="1"/>
    <col min="9" max="9" width="13.28515625" style="2" bestFit="1" customWidth="1"/>
    <col min="10" max="10" width="12.7109375" style="2" bestFit="1" customWidth="1"/>
    <col min="11" max="11" width="11.85546875" style="2" bestFit="1" customWidth="1"/>
    <col min="12" max="12" width="12.42578125" style="2" hidden="1" customWidth="1"/>
    <col min="13" max="13" width="11" style="2" hidden="1" customWidth="1"/>
    <col min="14" max="14" width="12.28515625" style="2" bestFit="1" customWidth="1"/>
    <col min="15" max="15" width="11.5703125" style="2" bestFit="1" customWidth="1"/>
    <col min="16" max="16" width="14" style="2" bestFit="1" customWidth="1"/>
    <col min="17" max="17" width="7" style="27" hidden="1" customWidth="1"/>
    <col min="18" max="18" width="7.85546875" style="53" bestFit="1" customWidth="1"/>
    <col min="19" max="16384" width="10" style="2"/>
  </cols>
  <sheetData>
    <row r="1" spans="1:18">
      <c r="A1" s="30" t="s">
        <v>278</v>
      </c>
      <c r="C1" s="79"/>
      <c r="D1" s="29" t="s">
        <v>20</v>
      </c>
    </row>
    <row r="3" spans="1:18" s="146" customFormat="1" ht="33" customHeight="1">
      <c r="A3" s="192" t="s">
        <v>0</v>
      </c>
      <c r="B3" s="192" t="s">
        <v>1</v>
      </c>
      <c r="C3" s="192" t="s">
        <v>2</v>
      </c>
      <c r="D3" s="193" t="s">
        <v>3</v>
      </c>
      <c r="E3" s="194" t="s">
        <v>191</v>
      </c>
      <c r="F3" s="194" t="s">
        <v>192</v>
      </c>
      <c r="G3" s="194" t="s">
        <v>193</v>
      </c>
      <c r="H3" s="194" t="s">
        <v>194</v>
      </c>
      <c r="I3" s="194" t="s">
        <v>199</v>
      </c>
      <c r="J3" s="194" t="s">
        <v>195</v>
      </c>
      <c r="K3" s="194" t="s">
        <v>196</v>
      </c>
      <c r="L3" s="194" t="s">
        <v>251</v>
      </c>
      <c r="M3" s="194" t="s">
        <v>252</v>
      </c>
      <c r="N3" s="195" t="s">
        <v>13</v>
      </c>
      <c r="O3" s="194" t="s">
        <v>198</v>
      </c>
      <c r="P3" s="194" t="s">
        <v>197</v>
      </c>
      <c r="Q3" s="196" t="s">
        <v>89</v>
      </c>
      <c r="R3" s="196" t="s">
        <v>12</v>
      </c>
    </row>
    <row r="4" spans="1:18" s="19" customFormat="1" ht="17.25" customHeight="1">
      <c r="A4" s="89"/>
      <c r="B4" s="89"/>
      <c r="C4" s="124"/>
      <c r="D4" s="125"/>
      <c r="E4" s="127"/>
      <c r="F4" s="127"/>
      <c r="G4" s="127"/>
      <c r="H4" s="127"/>
      <c r="I4" s="127"/>
      <c r="J4" s="127"/>
      <c r="K4" s="127"/>
      <c r="L4" s="127"/>
      <c r="M4" s="127"/>
      <c r="N4" s="89"/>
      <c r="O4" s="127"/>
      <c r="P4" s="127"/>
      <c r="Q4" s="40"/>
      <c r="R4" s="68"/>
    </row>
    <row r="5" spans="1:18" ht="12" thickBot="1"/>
    <row r="6" spans="1:18" ht="12" thickBot="1">
      <c r="A6" s="190" t="s">
        <v>11</v>
      </c>
      <c r="B6" s="191" t="s">
        <v>328</v>
      </c>
      <c r="D6" s="378" t="s">
        <v>279</v>
      </c>
      <c r="E6" s="379"/>
      <c r="F6" s="380"/>
    </row>
    <row r="7" spans="1:18">
      <c r="J7" s="18"/>
      <c r="R7" s="36"/>
    </row>
    <row r="8" spans="1:18" s="18" customFormat="1">
      <c r="A8" s="189"/>
      <c r="B8" s="87" t="s">
        <v>285</v>
      </c>
      <c r="C8" s="78">
        <v>278</v>
      </c>
      <c r="D8" s="70">
        <v>40000</v>
      </c>
      <c r="E8" s="186">
        <f>+D8/Q8*(CALC!$A$4)*1.1</f>
        <v>32983.508245877063</v>
      </c>
      <c r="F8" s="61">
        <v>0</v>
      </c>
      <c r="G8" s="61">
        <v>5500</v>
      </c>
      <c r="H8" s="61">
        <v>100</v>
      </c>
      <c r="I8" s="61">
        <f>151632.72*0.9/5</f>
        <v>27293.889600000002</v>
      </c>
      <c r="J8" s="61">
        <v>41245.08</v>
      </c>
      <c r="K8" s="61">
        <f>+'1-10'!R12</f>
        <v>329</v>
      </c>
      <c r="L8" s="61"/>
      <c r="M8" s="61"/>
      <c r="N8" s="61">
        <f>SUM(E8:M8)</f>
        <v>107451.47784587707</v>
      </c>
      <c r="O8" s="61">
        <f>N8/CALC!$A$8*CALC!$A$6</f>
        <v>3929.6279306749184</v>
      </c>
      <c r="P8" s="61">
        <f>+N8+O8</f>
        <v>111381.10577655199</v>
      </c>
      <c r="Q8" s="72">
        <v>6.67</v>
      </c>
      <c r="R8" s="73"/>
    </row>
    <row r="9" spans="1:18" s="18" customFormat="1">
      <c r="A9" s="87"/>
      <c r="B9" s="87" t="s">
        <v>286</v>
      </c>
      <c r="C9" s="78">
        <v>144</v>
      </c>
      <c r="D9" s="70">
        <v>20000</v>
      </c>
      <c r="E9" s="88">
        <f>+D9/Q9*(CALC!$A$4)*1.1</f>
        <v>16491.754122938532</v>
      </c>
      <c r="F9" s="61">
        <v>0</v>
      </c>
      <c r="G9" s="61">
        <v>5500</v>
      </c>
      <c r="H9" s="61">
        <v>100</v>
      </c>
      <c r="I9" s="61">
        <f>151632.72*0.9/5</f>
        <v>27293.889600000002</v>
      </c>
      <c r="J9" s="61">
        <v>41245.08</v>
      </c>
      <c r="K9" s="61">
        <f>+'1-10'!R57</f>
        <v>329</v>
      </c>
      <c r="L9" s="61"/>
      <c r="M9" s="61"/>
      <c r="N9" s="61">
        <f>SUM(E9:M9)</f>
        <v>90959.723722938536</v>
      </c>
      <c r="O9" s="61">
        <f>N9/CALC!$A$8*CALC!$A$6</f>
        <v>3326.5049310985178</v>
      </c>
      <c r="P9" s="61">
        <f>+N9+O9</f>
        <v>94286.228654037055</v>
      </c>
      <c r="Q9" s="72">
        <v>6.67</v>
      </c>
      <c r="R9" s="73"/>
    </row>
    <row r="10" spans="1:18">
      <c r="A10" s="22"/>
      <c r="B10" s="22"/>
      <c r="C10" s="33"/>
      <c r="D10" s="15"/>
      <c r="E10" s="43"/>
      <c r="F10" s="23"/>
      <c r="G10" s="23"/>
      <c r="H10" s="23"/>
      <c r="I10" s="23"/>
      <c r="J10" s="61"/>
      <c r="K10" s="23"/>
      <c r="L10" s="23"/>
      <c r="M10" s="23"/>
      <c r="N10" s="23"/>
      <c r="O10" s="23"/>
      <c r="P10" s="23"/>
      <c r="Q10" s="55"/>
      <c r="R10" s="36"/>
    </row>
    <row r="11" spans="1:18" s="30" customFormat="1">
      <c r="A11" s="59"/>
      <c r="B11" s="4" t="s">
        <v>15</v>
      </c>
      <c r="C11" s="42"/>
      <c r="D11" s="28">
        <f t="shared" ref="D11:N11" si="0">SUM(D8:D10)</f>
        <v>60000</v>
      </c>
      <c r="E11" s="80">
        <f t="shared" si="0"/>
        <v>49475.262368815595</v>
      </c>
      <c r="F11" s="26">
        <f t="shared" si="0"/>
        <v>0</v>
      </c>
      <c r="G11" s="26">
        <f t="shared" si="0"/>
        <v>11000</v>
      </c>
      <c r="H11" s="26">
        <f t="shared" si="0"/>
        <v>200</v>
      </c>
      <c r="I11" s="26">
        <f t="shared" si="0"/>
        <v>54587.779200000004</v>
      </c>
      <c r="J11" s="56">
        <f t="shared" si="0"/>
        <v>82490.16</v>
      </c>
      <c r="K11" s="26">
        <f t="shared" si="0"/>
        <v>658</v>
      </c>
      <c r="L11" s="26">
        <f t="shared" si="0"/>
        <v>0</v>
      </c>
      <c r="M11" s="26">
        <f t="shared" si="0"/>
        <v>0</v>
      </c>
      <c r="N11" s="26">
        <f t="shared" si="0"/>
        <v>198411.20156881562</v>
      </c>
      <c r="O11" s="26">
        <f>+O8+O9</f>
        <v>7256.1328617734362</v>
      </c>
      <c r="P11" s="26">
        <f>+N11+O11</f>
        <v>205667.33443058905</v>
      </c>
      <c r="Q11" s="57"/>
      <c r="R11" s="197">
        <f>(+P11/D11)*(1+CALC!$A$2)</f>
        <v>3.5306225743917787</v>
      </c>
    </row>
    <row r="12" spans="1:18" s="30" customFormat="1" ht="12" thickBot="1">
      <c r="A12" s="59"/>
      <c r="B12" s="59"/>
      <c r="C12" s="63"/>
      <c r="D12" s="64"/>
      <c r="E12" s="58"/>
      <c r="F12" s="65"/>
      <c r="G12" s="65"/>
      <c r="H12" s="65"/>
      <c r="I12" s="65"/>
      <c r="J12" s="40"/>
      <c r="K12" s="65"/>
      <c r="L12" s="65"/>
      <c r="M12" s="65"/>
      <c r="N12" s="65"/>
      <c r="O12" s="65"/>
      <c r="P12" s="65"/>
      <c r="Q12" s="65"/>
      <c r="R12" s="60"/>
    </row>
    <row r="13" spans="1:18" ht="12" thickBot="1">
      <c r="A13" s="190" t="s">
        <v>11</v>
      </c>
      <c r="B13" s="191" t="s">
        <v>663</v>
      </c>
      <c r="D13" s="378" t="s">
        <v>283</v>
      </c>
      <c r="E13" s="379"/>
      <c r="F13" s="380"/>
      <c r="J13" s="18"/>
      <c r="R13" s="36"/>
    </row>
    <row r="14" spans="1:18">
      <c r="J14" s="18"/>
      <c r="R14" s="36"/>
    </row>
    <row r="15" spans="1:18" s="18" customFormat="1">
      <c r="A15" s="87"/>
      <c r="B15" s="87" t="s">
        <v>281</v>
      </c>
      <c r="C15" s="78">
        <v>292</v>
      </c>
      <c r="D15" s="70">
        <v>15000</v>
      </c>
      <c r="E15" s="186">
        <f>+D15/Q15*(CALC!$A$4)*1.1</f>
        <v>11554.621848739498</v>
      </c>
      <c r="F15" s="61">
        <v>0</v>
      </c>
      <c r="G15" s="61">
        <v>5300</v>
      </c>
      <c r="H15" s="61">
        <v>100</v>
      </c>
      <c r="I15" s="61">
        <f>325220.26*0.9/5</f>
        <v>58539.646800000002</v>
      </c>
      <c r="J15" s="61">
        <v>83981.64</v>
      </c>
      <c r="K15" s="61">
        <f>+'1-10'!R26</f>
        <v>663</v>
      </c>
      <c r="L15" s="61"/>
      <c r="M15" s="61"/>
      <c r="N15" s="61">
        <f>SUM(E15:M15)</f>
        <v>160138.90864873951</v>
      </c>
      <c r="O15" s="61">
        <f>N15/CALC!$A$8*CALC!$A$6</f>
        <v>5856.4697371263919</v>
      </c>
      <c r="P15" s="61">
        <f>+N15+O15</f>
        <v>165995.37838586592</v>
      </c>
      <c r="Q15" s="72">
        <v>7.14</v>
      </c>
      <c r="R15" s="73"/>
    </row>
    <row r="16" spans="1:18" s="18" customFormat="1">
      <c r="A16" s="87"/>
      <c r="B16" s="87" t="s">
        <v>282</v>
      </c>
      <c r="C16" s="78">
        <v>293</v>
      </c>
      <c r="D16" s="70">
        <v>15000</v>
      </c>
      <c r="E16" s="186">
        <f>+D16/Q16*(CALC!$A$4)*1.1</f>
        <v>11554.621848739498</v>
      </c>
      <c r="F16" s="61">
        <v>0</v>
      </c>
      <c r="G16" s="61">
        <v>5300</v>
      </c>
      <c r="H16" s="61">
        <v>100</v>
      </c>
      <c r="I16" s="61">
        <f>325220.26*0.9/5</f>
        <v>58539.646800000002</v>
      </c>
      <c r="J16" s="61">
        <v>83981.64</v>
      </c>
      <c r="K16" s="61">
        <f>+'1-10'!R27</f>
        <v>663</v>
      </c>
      <c r="L16" s="61"/>
      <c r="M16" s="61"/>
      <c r="N16" s="61">
        <f>SUM(E16:M16)</f>
        <v>160138.90864873951</v>
      </c>
      <c r="O16" s="61">
        <f>N16/CALC!$A$8*CALC!$A$6</f>
        <v>5856.4697371263919</v>
      </c>
      <c r="P16" s="61">
        <f>+N16+O16</f>
        <v>165995.37838586592</v>
      </c>
      <c r="Q16" s="72">
        <v>7.14</v>
      </c>
      <c r="R16" s="73"/>
    </row>
    <row r="17" spans="1:18" s="18" customFormat="1">
      <c r="A17" s="87"/>
      <c r="B17" s="87"/>
      <c r="C17" s="78"/>
      <c r="D17" s="70"/>
      <c r="E17" s="186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72"/>
      <c r="R17" s="73"/>
    </row>
    <row r="18" spans="1:18">
      <c r="A18" s="22"/>
      <c r="B18" s="22"/>
      <c r="C18" s="33"/>
      <c r="D18" s="15"/>
      <c r="E18" s="81"/>
      <c r="F18" s="23"/>
      <c r="G18" s="23"/>
      <c r="H18" s="23"/>
      <c r="I18" s="23"/>
      <c r="J18" s="61"/>
      <c r="K18" s="23"/>
      <c r="L18" s="23"/>
      <c r="M18" s="23"/>
      <c r="N18" s="23"/>
      <c r="O18" s="23"/>
      <c r="P18" s="23"/>
      <c r="Q18" s="55"/>
      <c r="R18" s="36"/>
    </row>
    <row r="19" spans="1:18" s="30" customFormat="1">
      <c r="A19" s="59"/>
      <c r="B19" s="4" t="s">
        <v>15</v>
      </c>
      <c r="C19" s="42"/>
      <c r="D19" s="28">
        <f t="shared" ref="D19:N19" si="1">SUM(D15:D18)</f>
        <v>30000</v>
      </c>
      <c r="E19" s="80">
        <f t="shared" si="1"/>
        <v>23109.243697478996</v>
      </c>
      <c r="F19" s="26">
        <f t="shared" si="1"/>
        <v>0</v>
      </c>
      <c r="G19" s="26">
        <f t="shared" si="1"/>
        <v>10600</v>
      </c>
      <c r="H19" s="26">
        <f t="shared" si="1"/>
        <v>200</v>
      </c>
      <c r="I19" s="26">
        <f t="shared" si="1"/>
        <v>117079.2936</v>
      </c>
      <c r="J19" s="26">
        <f t="shared" si="1"/>
        <v>167963.28</v>
      </c>
      <c r="K19" s="26">
        <f t="shared" si="1"/>
        <v>1326</v>
      </c>
      <c r="L19" s="26">
        <f>SUM(L15:L18)</f>
        <v>0</v>
      </c>
      <c r="M19" s="26">
        <f>SUM(M15:M18)</f>
        <v>0</v>
      </c>
      <c r="N19" s="26">
        <f t="shared" si="1"/>
        <v>320277.81729747902</v>
      </c>
      <c r="O19" s="26">
        <f>+O15+O16+O17</f>
        <v>11712.939474252784</v>
      </c>
      <c r="P19" s="26">
        <f>+N19+O19</f>
        <v>331990.75677173183</v>
      </c>
      <c r="Q19" s="57"/>
      <c r="R19" s="197">
        <f>(+P19/D19)*(1+CALC!$A$2)</f>
        <v>11.39834931582946</v>
      </c>
    </row>
    <row r="20" spans="1:18" s="30" customFormat="1" ht="12" thickBot="1">
      <c r="A20" s="59"/>
      <c r="B20" s="59"/>
      <c r="C20" s="63"/>
      <c r="D20" s="64"/>
      <c r="E20" s="58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0"/>
    </row>
    <row r="21" spans="1:18" ht="12" thickBot="1">
      <c r="A21" s="190" t="s">
        <v>11</v>
      </c>
      <c r="B21" s="191" t="s">
        <v>664</v>
      </c>
      <c r="D21" s="378" t="s">
        <v>284</v>
      </c>
      <c r="E21" s="379"/>
      <c r="F21" s="380"/>
      <c r="J21" s="18"/>
      <c r="R21" s="36"/>
    </row>
    <row r="22" spans="1:18">
      <c r="J22" s="18"/>
      <c r="R22" s="36"/>
    </row>
    <row r="23" spans="1:18" s="18" customFormat="1">
      <c r="A23" s="87"/>
      <c r="B23" s="87" t="s">
        <v>280</v>
      </c>
      <c r="C23" s="78">
        <v>282</v>
      </c>
      <c r="D23" s="70">
        <v>20000</v>
      </c>
      <c r="E23" s="88">
        <f>+D23/Q23*(CALC!$A$4)</f>
        <v>7299.2700729927019</v>
      </c>
      <c r="F23" s="61">
        <v>0</v>
      </c>
      <c r="G23" s="61">
        <v>5300</v>
      </c>
      <c r="H23" s="61">
        <v>100</v>
      </c>
      <c r="I23" s="61">
        <f>123023.68*0.9/5</f>
        <v>22144.2624</v>
      </c>
      <c r="J23" s="61">
        <v>35173.32</v>
      </c>
      <c r="K23" s="61">
        <f>+'1-10'!R25</f>
        <v>275</v>
      </c>
      <c r="L23" s="61"/>
      <c r="M23" s="61"/>
      <c r="N23" s="61">
        <f>SUM(E23:M23)</f>
        <v>70291.852472992701</v>
      </c>
      <c r="O23" s="61">
        <f>N23/CALC!$A$8*CALC!$A$6</f>
        <v>2570.6563773180487</v>
      </c>
      <c r="P23" s="61">
        <f>+N23+O23</f>
        <v>72862.508850310754</v>
      </c>
      <c r="Q23" s="72">
        <v>13.7</v>
      </c>
      <c r="R23" s="73"/>
    </row>
    <row r="24" spans="1:18">
      <c r="A24" s="22"/>
      <c r="B24" s="22"/>
      <c r="C24" s="33"/>
      <c r="D24" s="15"/>
      <c r="E24" s="81"/>
      <c r="F24" s="23"/>
      <c r="G24" s="23"/>
      <c r="H24" s="23"/>
      <c r="I24" s="23"/>
      <c r="J24" s="61"/>
      <c r="K24" s="23"/>
      <c r="L24" s="23"/>
      <c r="M24" s="23"/>
      <c r="N24" s="23"/>
      <c r="O24" s="23"/>
      <c r="P24" s="23"/>
      <c r="Q24" s="55"/>
      <c r="R24" s="36"/>
    </row>
    <row r="25" spans="1:18" s="30" customFormat="1">
      <c r="A25" s="59"/>
      <c r="B25" s="4" t="s">
        <v>15</v>
      </c>
      <c r="C25" s="42"/>
      <c r="D25" s="28">
        <f t="shared" ref="D25:N25" si="2">SUM(D23:D24)</f>
        <v>20000</v>
      </c>
      <c r="E25" s="80">
        <f t="shared" si="2"/>
        <v>7299.2700729927019</v>
      </c>
      <c r="F25" s="26">
        <f t="shared" si="2"/>
        <v>0</v>
      </c>
      <c r="G25" s="26">
        <f t="shared" si="2"/>
        <v>5300</v>
      </c>
      <c r="H25" s="26">
        <f t="shared" si="2"/>
        <v>100</v>
      </c>
      <c r="I25" s="26">
        <f t="shared" si="2"/>
        <v>22144.2624</v>
      </c>
      <c r="J25" s="26">
        <f t="shared" si="2"/>
        <v>35173.32</v>
      </c>
      <c r="K25" s="26">
        <f t="shared" si="2"/>
        <v>275</v>
      </c>
      <c r="L25" s="26">
        <f>SUM(L23:L24)</f>
        <v>0</v>
      </c>
      <c r="M25" s="26">
        <f>SUM(M23:M24)</f>
        <v>0</v>
      </c>
      <c r="N25" s="26">
        <f t="shared" si="2"/>
        <v>70291.852472992701</v>
      </c>
      <c r="O25" s="26">
        <f>+O23</f>
        <v>2570.6563773180487</v>
      </c>
      <c r="P25" s="26">
        <f>+N25+O25</f>
        <v>72862.508850310754</v>
      </c>
      <c r="Q25" s="57"/>
      <c r="R25" s="197">
        <f>(+P25/D25)*(1+CALC!$A$2)</f>
        <v>3.752419205791004</v>
      </c>
    </row>
    <row r="26" spans="1:18" s="30" customFormat="1" ht="12" thickBot="1">
      <c r="A26" s="59"/>
      <c r="B26" s="59"/>
      <c r="C26" s="63"/>
      <c r="D26" s="64"/>
      <c r="E26" s="58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0"/>
    </row>
    <row r="27" spans="1:18" ht="12" thickBot="1">
      <c r="A27" s="190" t="s">
        <v>11</v>
      </c>
      <c r="B27" s="191" t="s">
        <v>153</v>
      </c>
      <c r="D27" s="378" t="s">
        <v>277</v>
      </c>
      <c r="E27" s="379"/>
      <c r="F27" s="380"/>
      <c r="J27" s="18"/>
      <c r="R27" s="36"/>
    </row>
    <row r="28" spans="1:18">
      <c r="J28" s="18"/>
      <c r="R28" s="36"/>
    </row>
    <row r="29" spans="1:18" s="18" customFormat="1">
      <c r="A29" s="87" t="s">
        <v>262</v>
      </c>
      <c r="B29" s="87" t="s">
        <v>261</v>
      </c>
      <c r="C29" s="78">
        <v>600</v>
      </c>
      <c r="D29" s="70">
        <v>40000</v>
      </c>
      <c r="E29" s="186">
        <f>+D29/Q29*(CALC!$A$4)*1.1</f>
        <v>22000</v>
      </c>
      <c r="F29" s="61">
        <v>0</v>
      </c>
      <c r="G29" s="61">
        <f>2665*12</f>
        <v>31980</v>
      </c>
      <c r="H29" s="61">
        <v>100</v>
      </c>
      <c r="I29" s="61">
        <f>754000/5</f>
        <v>150800</v>
      </c>
      <c r="J29" s="61">
        <f>15802*12</f>
        <v>189624</v>
      </c>
      <c r="K29" s="61">
        <v>636</v>
      </c>
      <c r="L29" s="61"/>
      <c r="M29" s="61"/>
      <c r="N29" s="61">
        <f>SUM(E29:M29)</f>
        <v>395140</v>
      </c>
      <c r="O29" s="56">
        <f>N29/CALC!$A$8*CALC!$A$6</f>
        <v>14450.738246281519</v>
      </c>
      <c r="P29" s="61">
        <f>+N29+O29</f>
        <v>409590.73824628151</v>
      </c>
      <c r="Q29" s="72">
        <v>10</v>
      </c>
      <c r="R29" s="73"/>
    </row>
    <row r="30" spans="1:18">
      <c r="A30" s="22"/>
      <c r="B30" s="22"/>
      <c r="C30" s="33"/>
      <c r="D30" s="15"/>
      <c r="E30" s="81"/>
      <c r="F30" s="23"/>
      <c r="G30" s="23"/>
      <c r="H30" s="23"/>
      <c r="I30" s="23"/>
      <c r="J30" s="61"/>
      <c r="K30" s="23"/>
      <c r="L30" s="23"/>
      <c r="M30" s="23"/>
      <c r="N30" s="23"/>
      <c r="O30" s="23"/>
      <c r="P30" s="23"/>
      <c r="Q30" s="55"/>
      <c r="R30" s="36"/>
    </row>
    <row r="31" spans="1:18" s="30" customFormat="1">
      <c r="A31" s="59"/>
      <c r="B31" s="4" t="s">
        <v>15</v>
      </c>
      <c r="C31" s="42"/>
      <c r="D31" s="28">
        <f t="shared" ref="D31:N31" si="3">SUM(D29:D30)</f>
        <v>40000</v>
      </c>
      <c r="E31" s="80">
        <f t="shared" si="3"/>
        <v>22000</v>
      </c>
      <c r="F31" s="26">
        <f t="shared" si="3"/>
        <v>0</v>
      </c>
      <c r="G31" s="26">
        <f t="shared" si="3"/>
        <v>31980</v>
      </c>
      <c r="H31" s="26">
        <f t="shared" si="3"/>
        <v>100</v>
      </c>
      <c r="I31" s="26">
        <f t="shared" si="3"/>
        <v>150800</v>
      </c>
      <c r="J31" s="26">
        <f t="shared" si="3"/>
        <v>189624</v>
      </c>
      <c r="K31" s="26">
        <f t="shared" si="3"/>
        <v>636</v>
      </c>
      <c r="L31" s="26">
        <f>SUM(L29:L30)</f>
        <v>0</v>
      </c>
      <c r="M31" s="26">
        <f>SUM(M29:M30)</f>
        <v>0</v>
      </c>
      <c r="N31" s="26">
        <f t="shared" si="3"/>
        <v>395140</v>
      </c>
      <c r="O31" s="26">
        <f>+O29</f>
        <v>14450.738246281519</v>
      </c>
      <c r="P31" s="26">
        <f>+N31+O31</f>
        <v>409590.73824628151</v>
      </c>
      <c r="Q31" s="57"/>
      <c r="R31" s="197">
        <f>(+P31/D31)*(1+CALC!$A$2)</f>
        <v>10.546961509841749</v>
      </c>
    </row>
    <row r="32" spans="1:18" s="30" customFormat="1">
      <c r="A32" s="59"/>
      <c r="B32" s="59"/>
      <c r="C32" s="63"/>
      <c r="D32" s="64"/>
      <c r="E32" s="58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0"/>
    </row>
    <row r="33" spans="1:19" ht="12" thickBot="1">
      <c r="E33" s="53"/>
    </row>
    <row r="34" spans="1:19" s="83" customFormat="1" ht="12" thickBot="1">
      <c r="A34" s="82"/>
      <c r="B34" s="99" t="s">
        <v>15</v>
      </c>
      <c r="C34" s="100"/>
      <c r="D34" s="101">
        <f>+D11+D19+D25+D31</f>
        <v>150000</v>
      </c>
      <c r="E34" s="102">
        <f>+E11+E19+E25+E31</f>
        <v>101883.77613928729</v>
      </c>
      <c r="F34" s="102">
        <f>+F11+F19+F25+F31</f>
        <v>0</v>
      </c>
      <c r="G34" s="102">
        <f t="shared" ref="G34:P34" si="4">+G11+G19+G25+G31</f>
        <v>58880</v>
      </c>
      <c r="H34" s="102">
        <f t="shared" si="4"/>
        <v>600</v>
      </c>
      <c r="I34" s="102">
        <f t="shared" si="4"/>
        <v>344611.33520000003</v>
      </c>
      <c r="J34" s="102">
        <f t="shared" si="4"/>
        <v>475250.76</v>
      </c>
      <c r="K34" s="102">
        <f t="shared" si="4"/>
        <v>2895</v>
      </c>
      <c r="L34" s="102">
        <f t="shared" si="4"/>
        <v>0</v>
      </c>
      <c r="M34" s="102">
        <f t="shared" si="4"/>
        <v>0</v>
      </c>
      <c r="N34" s="102">
        <f t="shared" si="4"/>
        <v>984120.87133928738</v>
      </c>
      <c r="O34" s="102">
        <f t="shared" si="4"/>
        <v>35990.466959625788</v>
      </c>
      <c r="P34" s="102">
        <f t="shared" si="4"/>
        <v>1020111.3382989132</v>
      </c>
      <c r="Q34" s="121"/>
      <c r="R34" s="121"/>
      <c r="S34" s="122"/>
    </row>
    <row r="35" spans="1:19" s="30" customFormat="1" ht="12" thickBot="1">
      <c r="A35" s="66" t="s">
        <v>105</v>
      </c>
      <c r="B35" s="103" t="s">
        <v>15</v>
      </c>
      <c r="C35" s="104"/>
      <c r="D35" s="105">
        <f>+D23</f>
        <v>20000</v>
      </c>
      <c r="E35" s="106">
        <f t="shared" ref="E35:P35" si="5">+E8+E23</f>
        <v>40282.778318869765</v>
      </c>
      <c r="F35" s="106">
        <f t="shared" si="5"/>
        <v>0</v>
      </c>
      <c r="G35" s="106">
        <f t="shared" si="5"/>
        <v>10800</v>
      </c>
      <c r="H35" s="106">
        <f t="shared" si="5"/>
        <v>200</v>
      </c>
      <c r="I35" s="106">
        <f t="shared" si="5"/>
        <v>49438.152000000002</v>
      </c>
      <c r="J35" s="106">
        <f t="shared" si="5"/>
        <v>76418.399999999994</v>
      </c>
      <c r="K35" s="106">
        <f t="shared" si="5"/>
        <v>604</v>
      </c>
      <c r="L35" s="106">
        <f t="shared" si="5"/>
        <v>0</v>
      </c>
      <c r="M35" s="106">
        <f t="shared" si="5"/>
        <v>0</v>
      </c>
      <c r="N35" s="106">
        <f t="shared" si="5"/>
        <v>177743.33031886979</v>
      </c>
      <c r="O35" s="106">
        <f t="shared" si="5"/>
        <v>6500.2843079929671</v>
      </c>
      <c r="P35" s="106">
        <f t="shared" si="5"/>
        <v>184243.61462686275</v>
      </c>
      <c r="Q35" s="188"/>
      <c r="R35" s="67"/>
    </row>
    <row r="36" spans="1:19" s="30" customFormat="1" ht="12" thickBot="1">
      <c r="A36" s="66" t="s">
        <v>122</v>
      </c>
      <c r="B36" s="103" t="s">
        <v>15</v>
      </c>
      <c r="C36" s="104"/>
      <c r="D36" s="105">
        <f>+D8+D16</f>
        <v>55000</v>
      </c>
      <c r="E36" s="106">
        <f t="shared" ref="E36:P36" si="6">+E9+E15</f>
        <v>28046.37597167803</v>
      </c>
      <c r="F36" s="106">
        <f t="shared" si="6"/>
        <v>0</v>
      </c>
      <c r="G36" s="106">
        <f t="shared" si="6"/>
        <v>10800</v>
      </c>
      <c r="H36" s="106">
        <f t="shared" si="6"/>
        <v>200</v>
      </c>
      <c r="I36" s="106">
        <f t="shared" si="6"/>
        <v>85833.536400000012</v>
      </c>
      <c r="J36" s="106">
        <f t="shared" si="6"/>
        <v>125226.72</v>
      </c>
      <c r="K36" s="106">
        <f t="shared" si="6"/>
        <v>992</v>
      </c>
      <c r="L36" s="106">
        <f t="shared" si="6"/>
        <v>0</v>
      </c>
      <c r="M36" s="106">
        <f t="shared" si="6"/>
        <v>0</v>
      </c>
      <c r="N36" s="106">
        <f t="shared" si="6"/>
        <v>251098.63237167805</v>
      </c>
      <c r="O36" s="213">
        <f t="shared" si="6"/>
        <v>9182.9746682249097</v>
      </c>
      <c r="P36" s="214">
        <f t="shared" si="6"/>
        <v>260281.60703990297</v>
      </c>
      <c r="Q36" s="68"/>
      <c r="R36" s="67"/>
    </row>
    <row r="37" spans="1:19" s="30" customFormat="1" ht="12" thickBot="1">
      <c r="A37" s="66" t="s">
        <v>123</v>
      </c>
      <c r="B37" s="103" t="s">
        <v>15</v>
      </c>
      <c r="C37" s="104"/>
      <c r="D37" s="105">
        <f>+D9+D15</f>
        <v>35000</v>
      </c>
      <c r="E37" s="106">
        <f>+E16</f>
        <v>11554.621848739498</v>
      </c>
      <c r="F37" s="106">
        <f>+F16</f>
        <v>0</v>
      </c>
      <c r="G37" s="106">
        <f t="shared" ref="G37:P37" si="7">+G16</f>
        <v>5300</v>
      </c>
      <c r="H37" s="106">
        <f t="shared" si="7"/>
        <v>100</v>
      </c>
      <c r="I37" s="106">
        <f t="shared" si="7"/>
        <v>58539.646800000002</v>
      </c>
      <c r="J37" s="106">
        <f t="shared" si="7"/>
        <v>83981.64</v>
      </c>
      <c r="K37" s="106">
        <f t="shared" si="7"/>
        <v>663</v>
      </c>
      <c r="L37" s="106">
        <f t="shared" si="7"/>
        <v>0</v>
      </c>
      <c r="M37" s="106">
        <f t="shared" si="7"/>
        <v>0</v>
      </c>
      <c r="N37" s="106">
        <f t="shared" si="7"/>
        <v>160138.90864873951</v>
      </c>
      <c r="O37" s="106">
        <f t="shared" si="7"/>
        <v>5856.4697371263919</v>
      </c>
      <c r="P37" s="106">
        <f t="shared" si="7"/>
        <v>165995.37838586592</v>
      </c>
      <c r="Q37" s="188"/>
      <c r="R37" s="67"/>
    </row>
    <row r="38" spans="1:19" s="30" customFormat="1" ht="12" thickBot="1">
      <c r="A38" s="66" t="s">
        <v>264</v>
      </c>
      <c r="B38" s="103" t="s">
        <v>15</v>
      </c>
      <c r="C38" s="104"/>
      <c r="D38" s="105">
        <f>+D29</f>
        <v>40000</v>
      </c>
      <c r="E38" s="106">
        <f>+E29</f>
        <v>22000</v>
      </c>
      <c r="F38" s="106">
        <f>+F29</f>
        <v>0</v>
      </c>
      <c r="G38" s="106">
        <f t="shared" ref="G38:P38" si="8">+G29</f>
        <v>31980</v>
      </c>
      <c r="H38" s="106">
        <f t="shared" si="8"/>
        <v>100</v>
      </c>
      <c r="I38" s="106">
        <f t="shared" si="8"/>
        <v>150800</v>
      </c>
      <c r="J38" s="106">
        <f t="shared" si="8"/>
        <v>189624</v>
      </c>
      <c r="K38" s="106">
        <f t="shared" si="8"/>
        <v>636</v>
      </c>
      <c r="L38" s="106">
        <f t="shared" si="8"/>
        <v>0</v>
      </c>
      <c r="M38" s="106">
        <f t="shared" si="8"/>
        <v>0</v>
      </c>
      <c r="N38" s="106">
        <f t="shared" si="8"/>
        <v>395140</v>
      </c>
      <c r="O38" s="106">
        <f t="shared" si="8"/>
        <v>14450.738246281519</v>
      </c>
      <c r="P38" s="106">
        <f t="shared" si="8"/>
        <v>409590.73824628151</v>
      </c>
      <c r="Q38" s="67"/>
      <c r="R38" s="67"/>
    </row>
    <row r="39" spans="1:19">
      <c r="G39" s="46"/>
      <c r="P39" s="17"/>
    </row>
    <row r="40" spans="1:19"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</row>
    <row r="123" spans="6:6">
      <c r="F123" s="2">
        <f>SUM(F114:F122)</f>
        <v>0</v>
      </c>
    </row>
  </sheetData>
  <mergeCells count="4">
    <mergeCell ref="D6:F6"/>
    <mergeCell ref="D13:F13"/>
    <mergeCell ref="D27:F27"/>
    <mergeCell ref="D21:F21"/>
  </mergeCells>
  <phoneticPr fontId="0" type="noConversion"/>
  <pageMargins left="0.35433070866141736" right="0" top="0.39370078740157483" bottom="0" header="0" footer="0"/>
  <pageSetup paperSize="9" scale="75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A115"/>
  <sheetViews>
    <sheetView topLeftCell="B1" zoomScale="90" zoomScaleNormal="90" workbookViewId="0">
      <pane ySplit="1" topLeftCell="A31" activePane="bottomLeft" state="frozen"/>
      <selection activeCell="J41" sqref="J41"/>
      <selection pane="bottomLeft" activeCell="B31" sqref="B31"/>
    </sheetView>
  </sheetViews>
  <sheetFormatPr defaultColWidth="4.7109375" defaultRowHeight="11.25"/>
  <cols>
    <col min="1" max="1" width="3" style="223" hidden="1" customWidth="1"/>
    <col min="2" max="2" width="6.28515625" style="223" customWidth="1"/>
    <col min="3" max="3" width="4.7109375" style="223" customWidth="1"/>
    <col min="4" max="4" width="20.42578125" style="223" bestFit="1" customWidth="1"/>
    <col min="5" max="5" width="8.7109375" style="223" customWidth="1"/>
    <col min="6" max="6" width="3.85546875" style="223" customWidth="1"/>
    <col min="7" max="7" width="10.42578125" style="223" bestFit="1" customWidth="1"/>
    <col min="8" max="8" width="11.28515625" style="223" customWidth="1"/>
    <col min="9" max="9" width="19.140625" style="223" bestFit="1" customWidth="1"/>
    <col min="10" max="10" width="8.7109375" style="224" customWidth="1"/>
    <col min="11" max="11" width="17.42578125" style="224" customWidth="1"/>
    <col min="12" max="12" width="14.85546875" style="225" bestFit="1" customWidth="1"/>
    <col min="13" max="13" width="14.85546875" style="226" customWidth="1"/>
    <col min="14" max="16" width="9.5703125" style="230" bestFit="1" customWidth="1"/>
    <col min="17" max="17" width="8.7109375" style="230" bestFit="1" customWidth="1"/>
    <col min="18" max="18" width="7.85546875" style="230" bestFit="1" customWidth="1"/>
    <col min="19" max="53" width="4.7109375" style="230"/>
    <col min="54" max="16384" width="4.7109375" style="223"/>
  </cols>
  <sheetData>
    <row r="1" spans="1:53">
      <c r="A1" s="223" t="s">
        <v>377</v>
      </c>
      <c r="C1" s="223" t="s">
        <v>378</v>
      </c>
      <c r="D1" s="223" t="s">
        <v>379</v>
      </c>
      <c r="E1" s="223" t="s">
        <v>265</v>
      </c>
      <c r="F1" s="223" t="s">
        <v>380</v>
      </c>
      <c r="G1" s="223" t="s">
        <v>381</v>
      </c>
      <c r="H1" s="223" t="s">
        <v>382</v>
      </c>
      <c r="J1" s="224" t="s">
        <v>383</v>
      </c>
      <c r="K1" s="224" t="s">
        <v>384</v>
      </c>
      <c r="L1" s="225" t="s">
        <v>385</v>
      </c>
      <c r="M1" s="226" t="s">
        <v>386</v>
      </c>
      <c r="N1" s="227" t="s">
        <v>387</v>
      </c>
      <c r="O1" s="228" t="s">
        <v>388</v>
      </c>
      <c r="P1" s="229" t="s">
        <v>389</v>
      </c>
      <c r="Q1" s="230" t="s">
        <v>390</v>
      </c>
      <c r="R1" s="230" t="s">
        <v>391</v>
      </c>
    </row>
    <row r="2" spans="1:53">
      <c r="A2" s="231" t="s">
        <v>392</v>
      </c>
      <c r="B2" s="232" t="s">
        <v>393</v>
      </c>
      <c r="C2" s="232" t="s">
        <v>217</v>
      </c>
      <c r="D2" s="232" t="s">
        <v>267</v>
      </c>
      <c r="E2" s="232" t="s">
        <v>394</v>
      </c>
      <c r="F2" s="232" t="s">
        <v>395</v>
      </c>
      <c r="G2" s="233">
        <v>3684.87</v>
      </c>
      <c r="H2" s="233">
        <f t="shared" ref="H2:H65" si="0">+G2*12</f>
        <v>44218.44</v>
      </c>
      <c r="I2" s="234" t="s">
        <v>396</v>
      </c>
      <c r="J2" s="235">
        <v>30000</v>
      </c>
      <c r="K2" s="235">
        <v>13653</v>
      </c>
      <c r="L2" s="236">
        <v>15000</v>
      </c>
      <c r="M2" s="237">
        <v>163934.71</v>
      </c>
      <c r="N2" s="238">
        <f>+G2*12</f>
        <v>44218.44</v>
      </c>
      <c r="O2" s="239">
        <v>11431.5</v>
      </c>
      <c r="P2" s="240">
        <f t="shared" ref="P2:P66" si="1">+M2*0.9/5</f>
        <v>29508.247800000001</v>
      </c>
      <c r="Q2" s="241">
        <v>5481.62</v>
      </c>
      <c r="R2" s="230">
        <v>329</v>
      </c>
      <c r="V2" s="223"/>
      <c r="W2" s="223"/>
      <c r="X2" s="223"/>
      <c r="Y2" s="223"/>
      <c r="Z2" s="223"/>
      <c r="AA2" s="223"/>
      <c r="AB2" s="223"/>
      <c r="AC2" s="223"/>
      <c r="AD2" s="223"/>
      <c r="AE2" s="223"/>
      <c r="AF2" s="223"/>
      <c r="AG2" s="223"/>
      <c r="AH2" s="223"/>
      <c r="AI2" s="223"/>
      <c r="AJ2" s="223"/>
      <c r="AK2" s="223"/>
      <c r="AL2" s="223"/>
      <c r="AM2" s="223"/>
      <c r="AN2" s="223"/>
      <c r="AO2" s="223"/>
      <c r="AP2" s="223"/>
      <c r="AQ2" s="223"/>
      <c r="AR2" s="223"/>
      <c r="AS2" s="223"/>
      <c r="AT2" s="223"/>
      <c r="AU2" s="223"/>
      <c r="AV2" s="223"/>
      <c r="AW2" s="223"/>
      <c r="AX2" s="223"/>
      <c r="AY2" s="223"/>
      <c r="AZ2" s="223"/>
      <c r="BA2" s="223"/>
    </row>
    <row r="3" spans="1:53">
      <c r="A3" s="242" t="s">
        <v>397</v>
      </c>
      <c r="B3" s="243" t="s">
        <v>398</v>
      </c>
      <c r="C3" s="243" t="s">
        <v>218</v>
      </c>
      <c r="D3" s="243" t="s">
        <v>267</v>
      </c>
      <c r="E3" s="243" t="s">
        <v>394</v>
      </c>
      <c r="F3" s="243" t="s">
        <v>399</v>
      </c>
      <c r="G3" s="244">
        <v>3596.62</v>
      </c>
      <c r="H3" s="244">
        <f t="shared" si="0"/>
        <v>43159.44</v>
      </c>
      <c r="I3" s="234" t="s">
        <v>396</v>
      </c>
      <c r="J3" s="235">
        <v>30000</v>
      </c>
      <c r="K3" s="235">
        <v>17962</v>
      </c>
      <c r="L3" s="236">
        <v>20000</v>
      </c>
      <c r="M3" s="237">
        <v>159552.98000000001</v>
      </c>
      <c r="N3" s="238">
        <f t="shared" ref="N3:N66" si="2">+G3*12</f>
        <v>43159.44</v>
      </c>
      <c r="O3" s="239">
        <v>11248.84</v>
      </c>
      <c r="P3" s="240">
        <f t="shared" si="1"/>
        <v>28719.536400000001</v>
      </c>
      <c r="Q3" s="241">
        <v>5481.62</v>
      </c>
      <c r="R3" s="230">
        <f t="shared" ref="R3:R5" si="3">293+36</f>
        <v>329</v>
      </c>
      <c r="V3" s="223"/>
      <c r="W3" s="223"/>
      <c r="X3" s="223"/>
      <c r="Y3" s="223"/>
      <c r="Z3" s="223"/>
      <c r="AA3" s="223"/>
      <c r="AB3" s="223"/>
      <c r="AC3" s="223"/>
      <c r="AD3" s="223"/>
      <c r="AE3" s="223"/>
      <c r="AF3" s="223"/>
      <c r="AG3" s="223"/>
      <c r="AH3" s="223"/>
      <c r="AI3" s="223"/>
      <c r="AJ3" s="223"/>
      <c r="AK3" s="223"/>
      <c r="AL3" s="223"/>
      <c r="AM3" s="223"/>
      <c r="AN3" s="223"/>
      <c r="AO3" s="223"/>
      <c r="AP3" s="223"/>
      <c r="AQ3" s="223"/>
      <c r="AR3" s="223"/>
      <c r="AS3" s="223"/>
      <c r="AT3" s="223"/>
      <c r="AU3" s="223"/>
      <c r="AV3" s="223"/>
      <c r="AW3" s="223"/>
      <c r="AX3" s="223"/>
      <c r="AY3" s="223"/>
      <c r="AZ3" s="223"/>
      <c r="BA3" s="223"/>
    </row>
    <row r="4" spans="1:53">
      <c r="A4" s="242" t="s">
        <v>400</v>
      </c>
      <c r="B4" s="243" t="s">
        <v>401</v>
      </c>
      <c r="C4" s="243" t="s">
        <v>219</v>
      </c>
      <c r="D4" s="243" t="s">
        <v>267</v>
      </c>
      <c r="E4" s="243" t="s">
        <v>394</v>
      </c>
      <c r="F4" s="243" t="s">
        <v>399</v>
      </c>
      <c r="G4" s="244">
        <v>3596.62</v>
      </c>
      <c r="H4" s="244">
        <f t="shared" si="0"/>
        <v>43159.44</v>
      </c>
      <c r="I4" s="234" t="s">
        <v>396</v>
      </c>
      <c r="J4" s="235">
        <v>30000</v>
      </c>
      <c r="K4" s="235">
        <v>15653</v>
      </c>
      <c r="L4" s="236">
        <v>20000</v>
      </c>
      <c r="M4" s="237">
        <v>159552.98000000001</v>
      </c>
      <c r="N4" s="238">
        <f t="shared" si="2"/>
        <v>43159.44</v>
      </c>
      <c r="O4" s="239">
        <v>11248.84</v>
      </c>
      <c r="P4" s="240">
        <f t="shared" si="1"/>
        <v>28719.536400000001</v>
      </c>
      <c r="Q4" s="241">
        <v>5481.62</v>
      </c>
      <c r="R4" s="230">
        <f t="shared" si="3"/>
        <v>329</v>
      </c>
      <c r="V4" s="223"/>
      <c r="W4" s="223"/>
      <c r="X4" s="223"/>
      <c r="Y4" s="223"/>
      <c r="Z4" s="223"/>
      <c r="AA4" s="223"/>
      <c r="AB4" s="223"/>
      <c r="AC4" s="223"/>
      <c r="AD4" s="223"/>
      <c r="AE4" s="223"/>
      <c r="AF4" s="223"/>
      <c r="AG4" s="223"/>
      <c r="AH4" s="223"/>
      <c r="AI4" s="223"/>
      <c r="AJ4" s="223"/>
      <c r="AK4" s="223"/>
      <c r="AL4" s="223"/>
      <c r="AM4" s="223"/>
      <c r="AN4" s="223"/>
      <c r="AO4" s="223"/>
      <c r="AP4" s="223"/>
      <c r="AQ4" s="223"/>
      <c r="AR4" s="223"/>
      <c r="AS4" s="223"/>
      <c r="AT4" s="223"/>
      <c r="AU4" s="223"/>
      <c r="AV4" s="223"/>
      <c r="AW4" s="223"/>
      <c r="AX4" s="223"/>
      <c r="AY4" s="223"/>
      <c r="AZ4" s="223"/>
      <c r="BA4" s="223"/>
    </row>
    <row r="5" spans="1:53">
      <c r="A5" s="242" t="s">
        <v>402</v>
      </c>
      <c r="B5" s="243" t="s">
        <v>403</v>
      </c>
      <c r="C5" s="243" t="s">
        <v>220</v>
      </c>
      <c r="D5" s="243" t="s">
        <v>267</v>
      </c>
      <c r="E5" s="243" t="s">
        <v>404</v>
      </c>
      <c r="F5" s="243" t="s">
        <v>399</v>
      </c>
      <c r="G5" s="244">
        <v>3596.62</v>
      </c>
      <c r="H5" s="244">
        <f t="shared" si="0"/>
        <v>43159.44</v>
      </c>
      <c r="I5" s="234" t="s">
        <v>396</v>
      </c>
      <c r="J5" s="235">
        <v>10000</v>
      </c>
      <c r="K5" s="235">
        <v>22564</v>
      </c>
      <c r="L5" s="236">
        <v>30000</v>
      </c>
      <c r="M5" s="237">
        <v>159552.98000000001</v>
      </c>
      <c r="N5" s="238">
        <f t="shared" si="2"/>
        <v>43159.44</v>
      </c>
      <c r="O5" s="239">
        <v>11248.84</v>
      </c>
      <c r="P5" s="240">
        <f t="shared" si="1"/>
        <v>28719.536400000001</v>
      </c>
      <c r="Q5" s="241">
        <v>5481.62</v>
      </c>
      <c r="R5" s="230">
        <f t="shared" si="3"/>
        <v>329</v>
      </c>
      <c r="V5" s="223"/>
      <c r="W5" s="223"/>
      <c r="X5" s="223"/>
      <c r="Y5" s="223"/>
      <c r="Z5" s="223"/>
      <c r="AA5" s="223"/>
      <c r="AB5" s="223"/>
      <c r="AC5" s="223"/>
      <c r="AD5" s="223"/>
      <c r="AE5" s="223"/>
      <c r="AF5" s="223"/>
      <c r="AG5" s="223"/>
      <c r="AH5" s="223"/>
      <c r="AI5" s="223"/>
      <c r="AJ5" s="223"/>
      <c r="AK5" s="223"/>
      <c r="AL5" s="223"/>
      <c r="AM5" s="223"/>
      <c r="AN5" s="223"/>
      <c r="AO5" s="223"/>
      <c r="AP5" s="223"/>
      <c r="AQ5" s="223"/>
      <c r="AR5" s="223"/>
      <c r="AS5" s="223"/>
      <c r="AT5" s="223"/>
      <c r="AU5" s="223"/>
      <c r="AV5" s="223"/>
      <c r="AW5" s="223"/>
      <c r="AX5" s="223"/>
      <c r="AY5" s="223"/>
      <c r="AZ5" s="223"/>
      <c r="BA5" s="223"/>
    </row>
    <row r="6" spans="1:53">
      <c r="A6" s="245" t="s">
        <v>405</v>
      </c>
      <c r="B6" s="246" t="s">
        <v>406</v>
      </c>
      <c r="C6" s="246" t="s">
        <v>221</v>
      </c>
      <c r="D6" s="246" t="s">
        <v>407</v>
      </c>
      <c r="E6" s="246" t="s">
        <v>64</v>
      </c>
      <c r="F6" s="246" t="s">
        <v>408</v>
      </c>
      <c r="G6" s="247">
        <v>4954.3900000000003</v>
      </c>
      <c r="H6" s="247">
        <f t="shared" si="0"/>
        <v>59452.680000000008</v>
      </c>
      <c r="I6" s="234" t="s">
        <v>409</v>
      </c>
      <c r="J6" s="235">
        <v>14000</v>
      </c>
      <c r="K6" s="235">
        <v>37617</v>
      </c>
      <c r="L6" s="236">
        <v>40000</v>
      </c>
      <c r="M6" s="237">
        <v>225014.33</v>
      </c>
      <c r="N6" s="238">
        <f t="shared" si="2"/>
        <v>59452.680000000008</v>
      </c>
      <c r="O6" s="239">
        <v>14449.81</v>
      </c>
      <c r="P6" s="240">
        <f t="shared" si="1"/>
        <v>40502.579400000002</v>
      </c>
      <c r="Q6" s="241">
        <v>5481.62</v>
      </c>
      <c r="R6" s="230">
        <f>347+36</f>
        <v>383</v>
      </c>
      <c r="AC6" s="223"/>
      <c r="AD6" s="223"/>
      <c r="AE6" s="223"/>
      <c r="AF6" s="223"/>
      <c r="AG6" s="223"/>
      <c r="AH6" s="223"/>
      <c r="AI6" s="223"/>
      <c r="AJ6" s="223"/>
      <c r="AK6" s="223"/>
      <c r="AL6" s="223"/>
      <c r="AM6" s="223"/>
      <c r="AN6" s="223"/>
      <c r="AO6" s="223"/>
      <c r="AP6" s="223"/>
      <c r="AQ6" s="223"/>
      <c r="AR6" s="223"/>
      <c r="AS6" s="223"/>
      <c r="AT6" s="223"/>
      <c r="AU6" s="223"/>
      <c r="AV6" s="223"/>
      <c r="AW6" s="223"/>
      <c r="AX6" s="223"/>
      <c r="AY6" s="223"/>
      <c r="AZ6" s="223"/>
      <c r="BA6" s="223"/>
    </row>
    <row r="7" spans="1:53">
      <c r="A7" s="248" t="s">
        <v>410</v>
      </c>
      <c r="B7" s="249" t="s">
        <v>411</v>
      </c>
      <c r="C7" s="250" t="s">
        <v>222</v>
      </c>
      <c r="D7" s="250" t="s">
        <v>267</v>
      </c>
      <c r="E7" s="250" t="s">
        <v>136</v>
      </c>
      <c r="F7" s="250" t="s">
        <v>412</v>
      </c>
      <c r="G7" s="251">
        <v>3437.09</v>
      </c>
      <c r="H7" s="251">
        <f t="shared" si="0"/>
        <v>41245.08</v>
      </c>
      <c r="I7" s="234" t="s">
        <v>396</v>
      </c>
      <c r="J7" s="235">
        <v>15000</v>
      </c>
      <c r="K7" s="235">
        <v>18162</v>
      </c>
      <c r="L7" s="236">
        <v>20000</v>
      </c>
      <c r="M7" s="237">
        <v>151632.72</v>
      </c>
      <c r="N7" s="238">
        <f t="shared" si="2"/>
        <v>41245.08</v>
      </c>
      <c r="O7" s="239">
        <v>10918.54</v>
      </c>
      <c r="P7" s="240">
        <f t="shared" si="1"/>
        <v>27293.889600000002</v>
      </c>
      <c r="Q7" s="241">
        <v>5481.62</v>
      </c>
      <c r="R7" s="230">
        <f t="shared" ref="R7:R13" si="4">293+36</f>
        <v>329</v>
      </c>
      <c r="V7" s="223"/>
      <c r="W7" s="223"/>
      <c r="X7" s="223"/>
      <c r="Y7" s="223"/>
      <c r="Z7" s="223"/>
      <c r="AA7" s="223"/>
      <c r="AB7" s="223"/>
      <c r="AC7" s="223"/>
      <c r="AD7" s="223"/>
      <c r="AE7" s="223"/>
      <c r="AF7" s="223"/>
      <c r="AG7" s="223"/>
      <c r="AH7" s="223"/>
      <c r="AI7" s="223"/>
      <c r="AJ7" s="223"/>
      <c r="AK7" s="223"/>
      <c r="AL7" s="223"/>
      <c r="AM7" s="223"/>
      <c r="AN7" s="223"/>
      <c r="AO7" s="223"/>
      <c r="AP7" s="223"/>
      <c r="AQ7" s="223"/>
      <c r="AR7" s="223"/>
      <c r="AS7" s="223"/>
      <c r="AT7" s="223"/>
      <c r="AU7" s="223"/>
      <c r="AV7" s="223"/>
      <c r="AW7" s="223"/>
      <c r="AX7" s="223"/>
      <c r="AY7" s="223"/>
      <c r="AZ7" s="223"/>
      <c r="BA7" s="223"/>
    </row>
    <row r="8" spans="1:53">
      <c r="A8" s="248" t="s">
        <v>413</v>
      </c>
      <c r="B8" s="249" t="s">
        <v>414</v>
      </c>
      <c r="C8" s="250" t="s">
        <v>223</v>
      </c>
      <c r="D8" s="250" t="s">
        <v>267</v>
      </c>
      <c r="E8" s="250" t="s">
        <v>136</v>
      </c>
      <c r="F8" s="250" t="s">
        <v>412</v>
      </c>
      <c r="G8" s="251">
        <v>3437.09</v>
      </c>
      <c r="H8" s="251">
        <f t="shared" si="0"/>
        <v>41245.08</v>
      </c>
      <c r="I8" s="234" t="s">
        <v>396</v>
      </c>
      <c r="J8" s="235">
        <v>15000</v>
      </c>
      <c r="K8" s="235">
        <v>26638</v>
      </c>
      <c r="L8" s="236">
        <v>30000</v>
      </c>
      <c r="M8" s="237">
        <v>151632.72</v>
      </c>
      <c r="N8" s="238">
        <f t="shared" si="2"/>
        <v>41245.08</v>
      </c>
      <c r="O8" s="239">
        <v>10918.54</v>
      </c>
      <c r="P8" s="240">
        <f t="shared" si="1"/>
        <v>27293.889600000002</v>
      </c>
      <c r="Q8" s="241">
        <v>5481.62</v>
      </c>
      <c r="R8" s="230">
        <f t="shared" si="4"/>
        <v>329</v>
      </c>
      <c r="V8" s="223"/>
      <c r="W8" s="223"/>
      <c r="X8" s="223"/>
      <c r="Y8" s="223"/>
      <c r="Z8" s="223"/>
      <c r="AA8" s="223"/>
      <c r="AB8" s="223"/>
      <c r="AC8" s="223"/>
      <c r="AD8" s="223"/>
      <c r="AE8" s="223"/>
      <c r="AF8" s="223"/>
      <c r="AG8" s="223"/>
      <c r="AH8" s="223"/>
      <c r="AI8" s="223"/>
      <c r="AJ8" s="223"/>
      <c r="AK8" s="223"/>
      <c r="AL8" s="223"/>
      <c r="AM8" s="223"/>
      <c r="AN8" s="223"/>
      <c r="AO8" s="223"/>
      <c r="AP8" s="223"/>
      <c r="AQ8" s="223"/>
      <c r="AR8" s="223"/>
      <c r="AS8" s="223"/>
      <c r="AT8" s="223"/>
      <c r="AU8" s="223"/>
      <c r="AV8" s="223"/>
      <c r="AW8" s="223"/>
      <c r="AX8" s="223"/>
      <c r="AY8" s="223"/>
      <c r="AZ8" s="223"/>
      <c r="BA8" s="223"/>
    </row>
    <row r="9" spans="1:53">
      <c r="A9" s="248" t="s">
        <v>415</v>
      </c>
      <c r="B9" s="249" t="s">
        <v>416</v>
      </c>
      <c r="C9" s="250" t="s">
        <v>224</v>
      </c>
      <c r="D9" s="250" t="s">
        <v>267</v>
      </c>
      <c r="E9" s="250" t="s">
        <v>136</v>
      </c>
      <c r="F9" s="250" t="s">
        <v>412</v>
      </c>
      <c r="G9" s="251">
        <v>3437.09</v>
      </c>
      <c r="H9" s="251">
        <f t="shared" si="0"/>
        <v>41245.08</v>
      </c>
      <c r="I9" s="234" t="s">
        <v>396</v>
      </c>
      <c r="J9" s="235">
        <v>15000</v>
      </c>
      <c r="K9" s="235">
        <v>28293</v>
      </c>
      <c r="L9" s="236">
        <v>30000</v>
      </c>
      <c r="M9" s="237">
        <v>151632.72</v>
      </c>
      <c r="N9" s="238">
        <f t="shared" si="2"/>
        <v>41245.08</v>
      </c>
      <c r="O9" s="239">
        <v>10918.54</v>
      </c>
      <c r="P9" s="240">
        <f t="shared" si="1"/>
        <v>27293.889600000002</v>
      </c>
      <c r="Q9" s="241">
        <v>5481.62</v>
      </c>
      <c r="R9" s="230">
        <f t="shared" si="4"/>
        <v>329</v>
      </c>
      <c r="V9" s="223"/>
      <c r="W9" s="223"/>
      <c r="X9" s="223"/>
      <c r="Y9" s="223"/>
      <c r="Z9" s="223"/>
      <c r="AA9" s="223"/>
      <c r="AB9" s="223"/>
      <c r="AC9" s="223"/>
      <c r="AD9" s="223"/>
      <c r="AE9" s="223"/>
      <c r="AF9" s="223"/>
      <c r="AG9" s="223"/>
      <c r="AH9" s="223"/>
      <c r="AI9" s="223"/>
      <c r="AJ9" s="223"/>
      <c r="AK9" s="223"/>
      <c r="AL9" s="223"/>
      <c r="AM9" s="223"/>
      <c r="AN9" s="223"/>
      <c r="AO9" s="223"/>
      <c r="AP9" s="223"/>
      <c r="AQ9" s="223"/>
      <c r="AR9" s="223"/>
      <c r="AS9" s="223"/>
      <c r="AT9" s="223"/>
      <c r="AU9" s="223"/>
      <c r="AV9" s="223"/>
      <c r="AW9" s="223"/>
      <c r="AX9" s="223"/>
      <c r="AY9" s="223"/>
      <c r="AZ9" s="223"/>
      <c r="BA9" s="223"/>
    </row>
    <row r="10" spans="1:53">
      <c r="A10" s="248" t="s">
        <v>417</v>
      </c>
      <c r="B10" s="249" t="s">
        <v>418</v>
      </c>
      <c r="C10" s="250" t="s">
        <v>225</v>
      </c>
      <c r="D10" s="250" t="s">
        <v>267</v>
      </c>
      <c r="E10" s="250" t="s">
        <v>138</v>
      </c>
      <c r="F10" s="250" t="s">
        <v>412</v>
      </c>
      <c r="G10" s="251">
        <v>3437.09</v>
      </c>
      <c r="H10" s="251">
        <f t="shared" si="0"/>
        <v>41245.08</v>
      </c>
      <c r="I10" s="234" t="s">
        <v>396</v>
      </c>
      <c r="J10" s="235">
        <v>15000</v>
      </c>
      <c r="K10" s="235">
        <v>24417</v>
      </c>
      <c r="L10" s="236">
        <v>30000</v>
      </c>
      <c r="M10" s="237">
        <v>151632.72</v>
      </c>
      <c r="N10" s="238">
        <f t="shared" si="2"/>
        <v>41245.08</v>
      </c>
      <c r="O10" s="239">
        <v>10918.54</v>
      </c>
      <c r="P10" s="240">
        <f t="shared" si="1"/>
        <v>27293.889600000002</v>
      </c>
      <c r="Q10" s="241">
        <v>5481.62</v>
      </c>
      <c r="R10" s="230">
        <f t="shared" si="4"/>
        <v>329</v>
      </c>
      <c r="V10" s="223"/>
      <c r="W10" s="223"/>
      <c r="X10" s="223"/>
      <c r="Y10" s="223"/>
      <c r="Z10" s="223"/>
      <c r="AA10" s="223"/>
      <c r="AB10" s="223"/>
      <c r="AC10" s="223"/>
      <c r="AD10" s="223"/>
      <c r="AE10" s="223"/>
      <c r="AF10" s="223"/>
      <c r="AG10" s="223"/>
      <c r="AH10" s="223"/>
      <c r="AI10" s="223"/>
      <c r="AJ10" s="223"/>
      <c r="AK10" s="223"/>
      <c r="AL10" s="223"/>
      <c r="AM10" s="223"/>
      <c r="AN10" s="223"/>
      <c r="AO10" s="223"/>
      <c r="AP10" s="223"/>
      <c r="AQ10" s="223"/>
      <c r="AR10" s="223"/>
      <c r="AS10" s="223"/>
      <c r="AT10" s="223"/>
      <c r="AU10" s="223"/>
      <c r="AV10" s="223"/>
      <c r="AW10" s="223"/>
      <c r="AX10" s="223"/>
      <c r="AY10" s="223"/>
      <c r="AZ10" s="223"/>
      <c r="BA10" s="223"/>
    </row>
    <row r="11" spans="1:53">
      <c r="A11" s="248" t="s">
        <v>419</v>
      </c>
      <c r="B11" s="249" t="s">
        <v>420</v>
      </c>
      <c r="C11" s="250" t="s">
        <v>226</v>
      </c>
      <c r="D11" s="250" t="s">
        <v>267</v>
      </c>
      <c r="E11" s="250" t="s">
        <v>137</v>
      </c>
      <c r="F11" s="250" t="s">
        <v>412</v>
      </c>
      <c r="G11" s="251">
        <v>3437.09</v>
      </c>
      <c r="H11" s="251">
        <f t="shared" si="0"/>
        <v>41245.08</v>
      </c>
      <c r="I11" s="234" t="s">
        <v>396</v>
      </c>
      <c r="J11" s="235">
        <v>15000</v>
      </c>
      <c r="K11" s="235">
        <v>65841</v>
      </c>
      <c r="L11" s="236">
        <v>70000</v>
      </c>
      <c r="M11" s="237">
        <v>151632.72</v>
      </c>
      <c r="N11" s="238">
        <f t="shared" si="2"/>
        <v>41245.08</v>
      </c>
      <c r="O11" s="239">
        <v>10918.54</v>
      </c>
      <c r="P11" s="240">
        <f t="shared" si="1"/>
        <v>27293.889600000002</v>
      </c>
      <c r="Q11" s="241">
        <v>5481.62</v>
      </c>
      <c r="R11" s="230">
        <f t="shared" si="4"/>
        <v>329</v>
      </c>
      <c r="V11" s="223"/>
      <c r="W11" s="223"/>
      <c r="X11" s="223"/>
      <c r="Y11" s="223"/>
      <c r="Z11" s="223"/>
      <c r="AA11" s="223"/>
      <c r="AB11" s="223"/>
      <c r="AC11" s="223"/>
      <c r="AD11" s="223"/>
      <c r="AE11" s="223"/>
      <c r="AF11" s="223"/>
      <c r="AG11" s="223"/>
      <c r="AH11" s="223"/>
      <c r="AI11" s="223"/>
      <c r="AJ11" s="223"/>
      <c r="AK11" s="223"/>
      <c r="AL11" s="223"/>
      <c r="AM11" s="223"/>
      <c r="AN11" s="223"/>
      <c r="AO11" s="223"/>
      <c r="AP11" s="223"/>
      <c r="AQ11" s="223"/>
      <c r="AR11" s="223"/>
      <c r="AS11" s="223"/>
      <c r="AT11" s="223"/>
      <c r="AU11" s="223"/>
      <c r="AV11" s="223"/>
      <c r="AW11" s="223"/>
      <c r="AX11" s="223"/>
      <c r="AY11" s="223"/>
      <c r="AZ11" s="223"/>
      <c r="BA11" s="223"/>
    </row>
    <row r="12" spans="1:53">
      <c r="A12" s="248" t="s">
        <v>421</v>
      </c>
      <c r="B12" s="249" t="s">
        <v>422</v>
      </c>
      <c r="C12" s="250" t="s">
        <v>227</v>
      </c>
      <c r="D12" s="250" t="s">
        <v>267</v>
      </c>
      <c r="E12" s="250" t="s">
        <v>122</v>
      </c>
      <c r="F12" s="250" t="s">
        <v>412</v>
      </c>
      <c r="G12" s="251">
        <v>3437.09</v>
      </c>
      <c r="H12" s="251">
        <f t="shared" si="0"/>
        <v>41245.08</v>
      </c>
      <c r="I12" s="234" t="s">
        <v>396</v>
      </c>
      <c r="J12" s="235">
        <v>30000</v>
      </c>
      <c r="K12" s="235">
        <v>35305</v>
      </c>
      <c r="L12" s="236">
        <v>40000</v>
      </c>
      <c r="M12" s="237">
        <v>151632.72</v>
      </c>
      <c r="N12" s="238">
        <f t="shared" si="2"/>
        <v>41245.08</v>
      </c>
      <c r="O12" s="239">
        <v>10918.54</v>
      </c>
      <c r="P12" s="240">
        <f t="shared" si="1"/>
        <v>27293.889600000002</v>
      </c>
      <c r="Q12" s="241">
        <v>5481.62</v>
      </c>
      <c r="R12" s="230">
        <f t="shared" si="4"/>
        <v>329</v>
      </c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</row>
    <row r="13" spans="1:53">
      <c r="A13" s="242" t="s">
        <v>423</v>
      </c>
      <c r="B13" s="243" t="s">
        <v>424</v>
      </c>
      <c r="C13" s="243" t="s">
        <v>228</v>
      </c>
      <c r="D13" s="243" t="s">
        <v>267</v>
      </c>
      <c r="E13" s="243" t="s">
        <v>66</v>
      </c>
      <c r="F13" s="243" t="s">
        <v>399</v>
      </c>
      <c r="G13" s="244">
        <v>3596.62</v>
      </c>
      <c r="H13" s="244">
        <f t="shared" si="0"/>
        <v>43159.44</v>
      </c>
      <c r="I13" s="234" t="s">
        <v>396</v>
      </c>
      <c r="J13" s="235">
        <v>15000</v>
      </c>
      <c r="K13" s="235">
        <v>14521</v>
      </c>
      <c r="L13" s="236">
        <v>20000</v>
      </c>
      <c r="M13" s="237">
        <v>159552.98000000001</v>
      </c>
      <c r="N13" s="238">
        <f t="shared" si="2"/>
        <v>43159.44</v>
      </c>
      <c r="O13" s="239">
        <v>11248.84</v>
      </c>
      <c r="P13" s="240">
        <f t="shared" si="1"/>
        <v>28719.536400000001</v>
      </c>
      <c r="Q13" s="241">
        <v>5481.62</v>
      </c>
      <c r="R13" s="230">
        <f t="shared" si="4"/>
        <v>329</v>
      </c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</row>
    <row r="14" spans="1:53">
      <c r="A14" s="245" t="s">
        <v>425</v>
      </c>
      <c r="B14" s="246" t="s">
        <v>426</v>
      </c>
      <c r="C14" s="246" t="s">
        <v>229</v>
      </c>
      <c r="D14" s="246" t="s">
        <v>407</v>
      </c>
      <c r="E14" s="246" t="s">
        <v>64</v>
      </c>
      <c r="F14" s="246" t="s">
        <v>408</v>
      </c>
      <c r="G14" s="247">
        <v>4954.3900000000003</v>
      </c>
      <c r="H14" s="247">
        <f t="shared" si="0"/>
        <v>59452.680000000008</v>
      </c>
      <c r="I14" s="234" t="s">
        <v>409</v>
      </c>
      <c r="J14" s="235">
        <v>80000</v>
      </c>
      <c r="K14" s="235">
        <v>72288</v>
      </c>
      <c r="L14" s="236">
        <v>80000</v>
      </c>
      <c r="M14" s="237">
        <v>225014.33</v>
      </c>
      <c r="N14" s="238">
        <f t="shared" si="2"/>
        <v>59452.680000000008</v>
      </c>
      <c r="O14" s="239">
        <v>14449.81</v>
      </c>
      <c r="P14" s="240">
        <f t="shared" si="1"/>
        <v>40502.579400000002</v>
      </c>
      <c r="Q14" s="241">
        <v>5481.62</v>
      </c>
      <c r="R14" s="230">
        <f>347+36</f>
        <v>383</v>
      </c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</row>
    <row r="15" spans="1:53">
      <c r="A15" s="248" t="s">
        <v>427</v>
      </c>
      <c r="B15" s="249" t="s">
        <v>428</v>
      </c>
      <c r="C15" s="250" t="s">
        <v>230</v>
      </c>
      <c r="D15" s="250" t="s">
        <v>267</v>
      </c>
      <c r="E15" s="250" t="s">
        <v>108</v>
      </c>
      <c r="F15" s="250" t="s">
        <v>412</v>
      </c>
      <c r="G15" s="251">
        <v>3437.09</v>
      </c>
      <c r="H15" s="251">
        <f t="shared" si="0"/>
        <v>41245.08</v>
      </c>
      <c r="I15" s="234" t="s">
        <v>396</v>
      </c>
      <c r="J15" s="235">
        <v>15000</v>
      </c>
      <c r="K15" s="235">
        <v>13109</v>
      </c>
      <c r="L15" s="236">
        <v>15000</v>
      </c>
      <c r="M15" s="237">
        <v>151632.72</v>
      </c>
      <c r="N15" s="238">
        <f t="shared" si="2"/>
        <v>41245.08</v>
      </c>
      <c r="O15" s="239">
        <v>10918.54</v>
      </c>
      <c r="P15" s="240">
        <f t="shared" si="1"/>
        <v>27293.889600000002</v>
      </c>
      <c r="Q15" s="241">
        <v>5481.62</v>
      </c>
      <c r="R15" s="230">
        <f>293+36</f>
        <v>329</v>
      </c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</row>
    <row r="16" spans="1:53">
      <c r="A16" s="252" t="s">
        <v>429</v>
      </c>
      <c r="B16" s="253" t="s">
        <v>430</v>
      </c>
      <c r="C16" s="253" t="s">
        <v>232</v>
      </c>
      <c r="D16" s="253" t="s">
        <v>269</v>
      </c>
      <c r="E16" s="253" t="s">
        <v>431</v>
      </c>
      <c r="F16" s="253" t="s">
        <v>432</v>
      </c>
      <c r="G16" s="254">
        <v>5418.79</v>
      </c>
      <c r="H16" s="254">
        <f t="shared" si="0"/>
        <v>65025.479999999996</v>
      </c>
      <c r="I16" s="234" t="s">
        <v>409</v>
      </c>
      <c r="J16" s="235">
        <v>40000</v>
      </c>
      <c r="K16" s="235">
        <v>37204</v>
      </c>
      <c r="L16" s="236">
        <v>40000</v>
      </c>
      <c r="M16" s="237">
        <v>248070.79</v>
      </c>
      <c r="N16" s="238">
        <f t="shared" si="2"/>
        <v>65025.479999999996</v>
      </c>
      <c r="O16" s="239">
        <v>15411.32</v>
      </c>
      <c r="P16" s="240">
        <f t="shared" si="1"/>
        <v>44652.742200000001</v>
      </c>
      <c r="Q16" s="241">
        <v>5481.62</v>
      </c>
      <c r="R16" s="230">
        <f t="shared" ref="R16:R24" si="5">347+36</f>
        <v>383</v>
      </c>
      <c r="V16" s="223"/>
      <c r="W16" s="223"/>
      <c r="X16" s="223"/>
      <c r="Y16" s="223"/>
      <c r="Z16" s="223"/>
      <c r="AA16" s="223"/>
      <c r="AB16" s="223"/>
      <c r="AC16" s="223"/>
      <c r="AD16" s="223"/>
      <c r="AE16" s="223"/>
      <c r="AF16" s="223"/>
      <c r="AG16" s="223"/>
      <c r="AH16" s="223"/>
      <c r="AI16" s="223"/>
      <c r="AJ16" s="223"/>
      <c r="AK16" s="223"/>
      <c r="AL16" s="223"/>
      <c r="AM16" s="223"/>
      <c r="AN16" s="223"/>
      <c r="AO16" s="223"/>
      <c r="AP16" s="223"/>
      <c r="AQ16" s="223"/>
      <c r="AR16" s="223"/>
      <c r="AS16" s="223"/>
      <c r="AT16" s="223"/>
      <c r="AU16" s="223"/>
      <c r="AV16" s="223"/>
      <c r="AW16" s="223"/>
      <c r="AX16" s="223"/>
      <c r="AY16" s="223"/>
      <c r="AZ16" s="223"/>
      <c r="BA16" s="223"/>
    </row>
    <row r="17" spans="1:53">
      <c r="A17" s="252" t="s">
        <v>433</v>
      </c>
      <c r="B17" s="253" t="s">
        <v>296</v>
      </c>
      <c r="C17" s="253" t="s">
        <v>233</v>
      </c>
      <c r="D17" s="253" t="s">
        <v>269</v>
      </c>
      <c r="E17" s="253" t="s">
        <v>431</v>
      </c>
      <c r="F17" s="253" t="s">
        <v>432</v>
      </c>
      <c r="G17" s="254">
        <v>5418.79</v>
      </c>
      <c r="H17" s="254">
        <f t="shared" si="0"/>
        <v>65025.479999999996</v>
      </c>
      <c r="I17" s="234" t="s">
        <v>409</v>
      </c>
      <c r="J17" s="235">
        <v>15000</v>
      </c>
      <c r="K17" s="235">
        <v>36254</v>
      </c>
      <c r="L17" s="236">
        <v>40000</v>
      </c>
      <c r="M17" s="237">
        <v>248070.79</v>
      </c>
      <c r="N17" s="238">
        <f t="shared" si="2"/>
        <v>65025.479999999996</v>
      </c>
      <c r="O17" s="239">
        <v>15411.32</v>
      </c>
      <c r="P17" s="240">
        <f t="shared" si="1"/>
        <v>44652.742200000001</v>
      </c>
      <c r="Q17" s="241">
        <v>5481.62</v>
      </c>
      <c r="R17" s="230">
        <f t="shared" si="5"/>
        <v>383</v>
      </c>
      <c r="V17" s="223"/>
      <c r="W17" s="223"/>
      <c r="X17" s="223"/>
      <c r="Y17" s="223"/>
      <c r="Z17" s="223"/>
      <c r="AA17" s="223"/>
      <c r="AB17" s="223"/>
      <c r="AC17" s="223"/>
      <c r="AD17" s="223"/>
      <c r="AE17" s="223"/>
      <c r="AF17" s="223"/>
      <c r="AG17" s="223"/>
      <c r="AH17" s="223"/>
      <c r="AI17" s="223"/>
      <c r="AJ17" s="223"/>
      <c r="AK17" s="223"/>
      <c r="AL17" s="223"/>
      <c r="AM17" s="223"/>
      <c r="AN17" s="223"/>
      <c r="AO17" s="223"/>
      <c r="AP17" s="223"/>
      <c r="AQ17" s="223"/>
      <c r="AR17" s="223"/>
      <c r="AS17" s="223"/>
      <c r="AT17" s="223"/>
      <c r="AU17" s="223"/>
      <c r="AV17" s="223"/>
      <c r="AW17" s="223"/>
      <c r="AX17" s="223"/>
      <c r="AY17" s="223"/>
      <c r="AZ17" s="223"/>
      <c r="BA17" s="223"/>
    </row>
    <row r="18" spans="1:53">
      <c r="A18" s="252" t="s">
        <v>434</v>
      </c>
      <c r="B18" s="253" t="s">
        <v>297</v>
      </c>
      <c r="C18" s="253" t="s">
        <v>234</v>
      </c>
      <c r="D18" s="253" t="s">
        <v>269</v>
      </c>
      <c r="E18" s="253" t="s">
        <v>431</v>
      </c>
      <c r="F18" s="253" t="s">
        <v>432</v>
      </c>
      <c r="G18" s="254">
        <v>5418.79</v>
      </c>
      <c r="H18" s="254">
        <f t="shared" si="0"/>
        <v>65025.479999999996</v>
      </c>
      <c r="I18" s="234" t="s">
        <v>409</v>
      </c>
      <c r="J18" s="235">
        <v>50000</v>
      </c>
      <c r="K18" s="235">
        <v>12952</v>
      </c>
      <c r="L18" s="236">
        <v>15000</v>
      </c>
      <c r="M18" s="237">
        <v>248070.79</v>
      </c>
      <c r="N18" s="238">
        <f t="shared" si="2"/>
        <v>65025.479999999996</v>
      </c>
      <c r="O18" s="239">
        <v>15411.32</v>
      </c>
      <c r="P18" s="240">
        <f t="shared" si="1"/>
        <v>44652.742200000001</v>
      </c>
      <c r="Q18" s="241">
        <v>5481.62</v>
      </c>
      <c r="R18" s="230">
        <f t="shared" si="5"/>
        <v>383</v>
      </c>
      <c r="V18" s="223"/>
      <c r="W18" s="223"/>
      <c r="X18" s="223"/>
      <c r="Y18" s="223"/>
      <c r="Z18" s="223"/>
      <c r="AA18" s="223"/>
      <c r="AB18" s="223"/>
      <c r="AC18" s="223"/>
      <c r="AD18" s="223"/>
      <c r="AE18" s="223"/>
      <c r="AF18" s="223"/>
      <c r="AG18" s="223"/>
      <c r="AH18" s="223"/>
      <c r="AI18" s="223"/>
      <c r="AJ18" s="223"/>
      <c r="AK18" s="223"/>
      <c r="AL18" s="223"/>
      <c r="AM18" s="223"/>
      <c r="AN18" s="223"/>
      <c r="AO18" s="223"/>
      <c r="AP18" s="223"/>
      <c r="AQ18" s="223"/>
      <c r="AR18" s="223"/>
      <c r="AS18" s="223"/>
      <c r="AT18" s="223"/>
      <c r="AU18" s="223"/>
      <c r="AV18" s="223"/>
      <c r="AW18" s="223"/>
      <c r="AX18" s="223"/>
      <c r="AY18" s="223"/>
      <c r="AZ18" s="223"/>
      <c r="BA18" s="223"/>
    </row>
    <row r="19" spans="1:53">
      <c r="A19" s="252" t="s">
        <v>435</v>
      </c>
      <c r="B19" s="253" t="s">
        <v>298</v>
      </c>
      <c r="C19" s="253" t="s">
        <v>235</v>
      </c>
      <c r="D19" s="253" t="s">
        <v>269</v>
      </c>
      <c r="E19" s="253" t="s">
        <v>431</v>
      </c>
      <c r="F19" s="253" t="s">
        <v>432</v>
      </c>
      <c r="G19" s="254">
        <v>5418.79</v>
      </c>
      <c r="H19" s="254">
        <f t="shared" si="0"/>
        <v>65025.479999999996</v>
      </c>
      <c r="I19" s="234" t="s">
        <v>409</v>
      </c>
      <c r="J19" s="235">
        <v>40000</v>
      </c>
      <c r="K19" s="235">
        <v>42827</v>
      </c>
      <c r="L19" s="236">
        <v>50000</v>
      </c>
      <c r="M19" s="237">
        <v>248070.79</v>
      </c>
      <c r="N19" s="238">
        <f t="shared" si="2"/>
        <v>65025.479999999996</v>
      </c>
      <c r="O19" s="239">
        <v>15411.32</v>
      </c>
      <c r="P19" s="240">
        <f t="shared" si="1"/>
        <v>44652.742200000001</v>
      </c>
      <c r="Q19" s="241">
        <v>5481.62</v>
      </c>
      <c r="R19" s="230">
        <f t="shared" si="5"/>
        <v>383</v>
      </c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3"/>
      <c r="BA19" s="223"/>
    </row>
    <row r="20" spans="1:53">
      <c r="A20" s="252" t="s">
        <v>436</v>
      </c>
      <c r="B20" s="253" t="s">
        <v>299</v>
      </c>
      <c r="C20" s="253" t="s">
        <v>236</v>
      </c>
      <c r="D20" s="253" t="s">
        <v>269</v>
      </c>
      <c r="E20" s="253" t="s">
        <v>431</v>
      </c>
      <c r="F20" s="253" t="s">
        <v>432</v>
      </c>
      <c r="G20" s="254">
        <v>5418.79</v>
      </c>
      <c r="H20" s="254">
        <f t="shared" si="0"/>
        <v>65025.479999999996</v>
      </c>
      <c r="I20" s="234" t="s">
        <v>409</v>
      </c>
      <c r="J20" s="235">
        <v>20000</v>
      </c>
      <c r="K20" s="235">
        <v>35805</v>
      </c>
      <c r="L20" s="236">
        <v>40000</v>
      </c>
      <c r="M20" s="237">
        <v>248070.79</v>
      </c>
      <c r="N20" s="238">
        <f t="shared" si="2"/>
        <v>65025.479999999996</v>
      </c>
      <c r="O20" s="239">
        <v>15411.32</v>
      </c>
      <c r="P20" s="240">
        <f t="shared" si="1"/>
        <v>44652.742200000001</v>
      </c>
      <c r="Q20" s="241">
        <v>5481.62</v>
      </c>
      <c r="R20" s="230">
        <f t="shared" si="5"/>
        <v>383</v>
      </c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  <c r="AX20" s="223"/>
      <c r="AY20" s="223"/>
      <c r="AZ20" s="223"/>
      <c r="BA20" s="223"/>
    </row>
    <row r="21" spans="1:53">
      <c r="A21" s="252" t="s">
        <v>437</v>
      </c>
      <c r="B21" s="253" t="s">
        <v>300</v>
      </c>
      <c r="C21" s="253" t="s">
        <v>237</v>
      </c>
      <c r="D21" s="253" t="s">
        <v>269</v>
      </c>
      <c r="E21" s="253" t="s">
        <v>431</v>
      </c>
      <c r="F21" s="253" t="s">
        <v>432</v>
      </c>
      <c r="G21" s="254">
        <v>5418.79</v>
      </c>
      <c r="H21" s="254">
        <f t="shared" si="0"/>
        <v>65025.479999999996</v>
      </c>
      <c r="I21" s="234" t="s">
        <v>409</v>
      </c>
      <c r="J21" s="235">
        <v>25000</v>
      </c>
      <c r="K21" s="235">
        <v>53334</v>
      </c>
      <c r="L21" s="236">
        <v>60000</v>
      </c>
      <c r="M21" s="237">
        <v>248070.79</v>
      </c>
      <c r="N21" s="238">
        <f t="shared" si="2"/>
        <v>65025.479999999996</v>
      </c>
      <c r="O21" s="239">
        <v>15411.32</v>
      </c>
      <c r="P21" s="240">
        <f t="shared" si="1"/>
        <v>44652.742200000001</v>
      </c>
      <c r="Q21" s="241">
        <v>5481.62</v>
      </c>
      <c r="R21" s="230">
        <f t="shared" si="5"/>
        <v>383</v>
      </c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3"/>
      <c r="BA21" s="223"/>
    </row>
    <row r="22" spans="1:53">
      <c r="A22" s="252" t="s">
        <v>438</v>
      </c>
      <c r="B22" s="253" t="s">
        <v>301</v>
      </c>
      <c r="C22" s="253" t="s">
        <v>238</v>
      </c>
      <c r="D22" s="253" t="s">
        <v>269</v>
      </c>
      <c r="E22" s="253" t="s">
        <v>431</v>
      </c>
      <c r="F22" s="253" t="s">
        <v>432</v>
      </c>
      <c r="G22" s="254">
        <v>5418.79</v>
      </c>
      <c r="H22" s="254">
        <f t="shared" si="0"/>
        <v>65025.479999999996</v>
      </c>
      <c r="I22" s="234" t="s">
        <v>409</v>
      </c>
      <c r="J22" s="235">
        <v>40000</v>
      </c>
      <c r="K22" s="235">
        <v>32148</v>
      </c>
      <c r="L22" s="236">
        <v>35000</v>
      </c>
      <c r="M22" s="237">
        <v>248070.79</v>
      </c>
      <c r="N22" s="238">
        <f t="shared" si="2"/>
        <v>65025.479999999996</v>
      </c>
      <c r="O22" s="239">
        <v>15411.32</v>
      </c>
      <c r="P22" s="240">
        <f t="shared" si="1"/>
        <v>44652.742200000001</v>
      </c>
      <c r="Q22" s="241">
        <v>5481.62</v>
      </c>
      <c r="R22" s="230">
        <f t="shared" si="5"/>
        <v>383</v>
      </c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3"/>
      <c r="BA22" s="223"/>
    </row>
    <row r="23" spans="1:53">
      <c r="A23" s="252" t="s">
        <v>439</v>
      </c>
      <c r="B23" s="253" t="s">
        <v>302</v>
      </c>
      <c r="C23" s="253" t="s">
        <v>239</v>
      </c>
      <c r="D23" s="253" t="s">
        <v>269</v>
      </c>
      <c r="E23" s="253" t="s">
        <v>431</v>
      </c>
      <c r="F23" s="253" t="s">
        <v>432</v>
      </c>
      <c r="G23" s="254">
        <v>5418.79</v>
      </c>
      <c r="H23" s="254">
        <f t="shared" si="0"/>
        <v>65025.479999999996</v>
      </c>
      <c r="I23" s="234" t="s">
        <v>409</v>
      </c>
      <c r="J23" s="235">
        <v>40000</v>
      </c>
      <c r="K23" s="235">
        <v>33912</v>
      </c>
      <c r="L23" s="236">
        <v>35000</v>
      </c>
      <c r="M23" s="237">
        <v>248070.79</v>
      </c>
      <c r="N23" s="238">
        <f t="shared" si="2"/>
        <v>65025.479999999996</v>
      </c>
      <c r="O23" s="239">
        <v>15411.32</v>
      </c>
      <c r="P23" s="240">
        <f t="shared" si="1"/>
        <v>44652.742200000001</v>
      </c>
      <c r="Q23" s="241">
        <v>5481.62</v>
      </c>
      <c r="R23" s="230">
        <f t="shared" si="5"/>
        <v>383</v>
      </c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</row>
    <row r="24" spans="1:53">
      <c r="A24" s="252" t="s">
        <v>440</v>
      </c>
      <c r="B24" s="253" t="s">
        <v>303</v>
      </c>
      <c r="C24" s="253" t="s">
        <v>240</v>
      </c>
      <c r="D24" s="253" t="s">
        <v>269</v>
      </c>
      <c r="E24" s="253" t="s">
        <v>431</v>
      </c>
      <c r="F24" s="253" t="s">
        <v>432</v>
      </c>
      <c r="G24" s="254">
        <v>5418.79</v>
      </c>
      <c r="H24" s="254">
        <f t="shared" si="0"/>
        <v>65025.479999999996</v>
      </c>
      <c r="I24" s="234" t="s">
        <v>409</v>
      </c>
      <c r="J24" s="235">
        <v>40000</v>
      </c>
      <c r="K24" s="235">
        <v>20850</v>
      </c>
      <c r="L24" s="236">
        <v>30000</v>
      </c>
      <c r="M24" s="237">
        <v>248070.79</v>
      </c>
      <c r="N24" s="238">
        <f t="shared" si="2"/>
        <v>65025.479999999996</v>
      </c>
      <c r="O24" s="239">
        <v>15411.32</v>
      </c>
      <c r="P24" s="240">
        <f t="shared" si="1"/>
        <v>44652.742200000001</v>
      </c>
      <c r="Q24" s="241">
        <v>5481.62</v>
      </c>
      <c r="R24" s="230">
        <f t="shared" si="5"/>
        <v>383</v>
      </c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  <c r="AO24" s="223"/>
      <c r="AP24" s="223"/>
      <c r="AQ24" s="223"/>
      <c r="AR24" s="223"/>
      <c r="AS24" s="223"/>
      <c r="AT24" s="223"/>
      <c r="AU24" s="223"/>
      <c r="AV24" s="223"/>
      <c r="AW24" s="223"/>
      <c r="AX24" s="223"/>
      <c r="AY24" s="223"/>
      <c r="AZ24" s="223"/>
      <c r="BA24" s="223"/>
    </row>
    <row r="25" spans="1:53">
      <c r="A25" s="255" t="s">
        <v>441</v>
      </c>
      <c r="B25" s="256" t="s">
        <v>442</v>
      </c>
      <c r="C25" s="257" t="s">
        <v>231</v>
      </c>
      <c r="D25" s="257" t="s">
        <v>146</v>
      </c>
      <c r="E25" s="257" t="s">
        <v>105</v>
      </c>
      <c r="F25" s="257" t="s">
        <v>392</v>
      </c>
      <c r="G25" s="258">
        <v>2931.11</v>
      </c>
      <c r="H25" s="259">
        <f t="shared" si="0"/>
        <v>35173.32</v>
      </c>
      <c r="I25" s="234" t="s">
        <v>396</v>
      </c>
      <c r="J25" s="235">
        <v>20000</v>
      </c>
      <c r="K25" s="235">
        <v>10774</v>
      </c>
      <c r="L25" s="236">
        <v>15000</v>
      </c>
      <c r="M25" s="237">
        <v>123023.67999999999</v>
      </c>
      <c r="N25" s="238">
        <f t="shared" si="2"/>
        <v>35173.32</v>
      </c>
      <c r="O25" s="239">
        <v>52842.92</v>
      </c>
      <c r="P25" s="240">
        <f t="shared" si="1"/>
        <v>22144.2624</v>
      </c>
      <c r="Q25" s="241">
        <v>5269.45</v>
      </c>
      <c r="R25" s="230">
        <f>239+36</f>
        <v>275</v>
      </c>
    </row>
    <row r="26" spans="1:53">
      <c r="A26" s="260" t="s">
        <v>443</v>
      </c>
      <c r="B26" s="261" t="s">
        <v>444</v>
      </c>
      <c r="C26" s="261" t="s">
        <v>445</v>
      </c>
      <c r="D26" s="261" t="s">
        <v>273</v>
      </c>
      <c r="E26" s="261" t="s">
        <v>123</v>
      </c>
      <c r="F26" s="261" t="s">
        <v>402</v>
      </c>
      <c r="G26" s="262">
        <v>6998.47</v>
      </c>
      <c r="H26" s="262">
        <f t="shared" si="0"/>
        <v>83981.64</v>
      </c>
      <c r="I26" s="234" t="s">
        <v>446</v>
      </c>
      <c r="J26" s="235">
        <v>15000</v>
      </c>
      <c r="K26" s="235">
        <v>12406</v>
      </c>
      <c r="L26" s="236">
        <v>15000</v>
      </c>
      <c r="M26" s="237">
        <v>325220.26</v>
      </c>
      <c r="N26" s="238">
        <f t="shared" si="2"/>
        <v>83981.64</v>
      </c>
      <c r="O26" s="239">
        <v>18937.59</v>
      </c>
      <c r="P26" s="240">
        <f t="shared" si="1"/>
        <v>58539.646800000002</v>
      </c>
      <c r="Q26" s="241">
        <v>5269.45</v>
      </c>
      <c r="R26" s="230">
        <f>627+36</f>
        <v>663</v>
      </c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3"/>
      <c r="AP26" s="223"/>
      <c r="AQ26" s="223"/>
      <c r="AR26" s="223"/>
      <c r="AS26" s="223"/>
      <c r="AT26" s="223"/>
      <c r="AU26" s="223"/>
      <c r="AV26" s="223"/>
      <c r="AW26" s="223"/>
      <c r="AX26" s="223"/>
      <c r="AY26" s="223"/>
      <c r="AZ26" s="223"/>
      <c r="BA26" s="223"/>
    </row>
    <row r="27" spans="1:53">
      <c r="A27" s="260" t="s">
        <v>447</v>
      </c>
      <c r="B27" s="261" t="s">
        <v>448</v>
      </c>
      <c r="C27" s="261" t="s">
        <v>449</v>
      </c>
      <c r="D27" s="261" t="s">
        <v>273</v>
      </c>
      <c r="E27" s="261" t="s">
        <v>122</v>
      </c>
      <c r="F27" s="261" t="s">
        <v>402</v>
      </c>
      <c r="G27" s="262">
        <v>6998.47</v>
      </c>
      <c r="H27" s="262">
        <f t="shared" si="0"/>
        <v>83981.64</v>
      </c>
      <c r="I27" s="234" t="s">
        <v>446</v>
      </c>
      <c r="J27" s="235">
        <v>15000</v>
      </c>
      <c r="K27" s="235">
        <v>4147</v>
      </c>
      <c r="L27" s="236">
        <v>8000</v>
      </c>
      <c r="M27" s="237">
        <v>325220.26</v>
      </c>
      <c r="N27" s="238">
        <f t="shared" si="2"/>
        <v>83981.64</v>
      </c>
      <c r="O27" s="239">
        <v>18937.59</v>
      </c>
      <c r="P27" s="240">
        <f t="shared" si="1"/>
        <v>58539.646800000002</v>
      </c>
      <c r="Q27" s="241">
        <v>5239.45</v>
      </c>
      <c r="R27" s="230">
        <f>627+36</f>
        <v>663</v>
      </c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3"/>
      <c r="AP27" s="223"/>
      <c r="AQ27" s="223"/>
      <c r="AR27" s="223"/>
      <c r="AS27" s="223"/>
      <c r="AT27" s="223"/>
      <c r="AU27" s="223"/>
      <c r="AV27" s="223"/>
      <c r="AW27" s="223"/>
      <c r="AX27" s="223"/>
      <c r="AY27" s="223"/>
      <c r="AZ27" s="223"/>
      <c r="BA27" s="223"/>
    </row>
    <row r="28" spans="1:53">
      <c r="A28" s="263" t="s">
        <v>450</v>
      </c>
      <c r="B28" s="264" t="s">
        <v>451</v>
      </c>
      <c r="C28" s="264" t="s">
        <v>241</v>
      </c>
      <c r="D28" s="264" t="s">
        <v>270</v>
      </c>
      <c r="E28" s="264" t="s">
        <v>64</v>
      </c>
      <c r="F28" s="264" t="s">
        <v>452</v>
      </c>
      <c r="G28" s="265">
        <v>8221.42</v>
      </c>
      <c r="H28" s="265">
        <f t="shared" si="0"/>
        <v>98657.040000000008</v>
      </c>
      <c r="I28" s="234" t="s">
        <v>409</v>
      </c>
      <c r="J28" s="235">
        <v>25000</v>
      </c>
      <c r="K28" s="235">
        <v>8442</v>
      </c>
      <c r="L28" s="236">
        <v>10000</v>
      </c>
      <c r="M28" s="237">
        <v>297175.94</v>
      </c>
      <c r="N28" s="238">
        <f t="shared" si="2"/>
        <v>98657.040000000008</v>
      </c>
      <c r="O28" s="239">
        <v>39221.85</v>
      </c>
      <c r="P28" s="240">
        <f t="shared" si="1"/>
        <v>53491.669200000004</v>
      </c>
      <c r="Q28" s="241">
        <v>6057.27</v>
      </c>
      <c r="R28" s="230">
        <v>1838</v>
      </c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  <c r="AV28" s="223"/>
      <c r="AW28" s="223"/>
      <c r="AX28" s="223"/>
      <c r="AY28" s="223"/>
      <c r="AZ28" s="223"/>
      <c r="BA28" s="223"/>
    </row>
    <row r="29" spans="1:53">
      <c r="A29" s="263" t="s">
        <v>453</v>
      </c>
      <c r="B29" s="264" t="s">
        <v>454</v>
      </c>
      <c r="C29" s="264" t="s">
        <v>242</v>
      </c>
      <c r="D29" s="264" t="s">
        <v>270</v>
      </c>
      <c r="E29" s="264" t="s">
        <v>394</v>
      </c>
      <c r="F29" s="264" t="s">
        <v>452</v>
      </c>
      <c r="G29" s="265">
        <v>8221.42</v>
      </c>
      <c r="H29" s="265">
        <f t="shared" si="0"/>
        <v>98657.040000000008</v>
      </c>
      <c r="I29" s="234" t="s">
        <v>409</v>
      </c>
      <c r="J29" s="235">
        <v>15000</v>
      </c>
      <c r="K29" s="235">
        <v>25681</v>
      </c>
      <c r="L29" s="236">
        <v>30000</v>
      </c>
      <c r="M29" s="237">
        <v>297175.94</v>
      </c>
      <c r="N29" s="238">
        <f t="shared" si="2"/>
        <v>98657.040000000008</v>
      </c>
      <c r="O29" s="239">
        <v>39221.85</v>
      </c>
      <c r="P29" s="240">
        <f t="shared" si="1"/>
        <v>53491.669200000004</v>
      </c>
      <c r="Q29" s="241">
        <v>6057.27</v>
      </c>
      <c r="R29" s="230">
        <v>1838</v>
      </c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</row>
    <row r="30" spans="1:53">
      <c r="A30" s="263" t="s">
        <v>455</v>
      </c>
      <c r="B30" s="264" t="s">
        <v>456</v>
      </c>
      <c r="C30" s="264" t="s">
        <v>243</v>
      </c>
      <c r="D30" s="264" t="s">
        <v>270</v>
      </c>
      <c r="E30" s="264" t="s">
        <v>394</v>
      </c>
      <c r="F30" s="264" t="s">
        <v>452</v>
      </c>
      <c r="G30" s="265">
        <v>8221.42</v>
      </c>
      <c r="H30" s="265">
        <f t="shared" si="0"/>
        <v>98657.040000000008</v>
      </c>
      <c r="I30" s="234" t="s">
        <v>409</v>
      </c>
      <c r="J30" s="235">
        <v>15000</v>
      </c>
      <c r="K30" s="235">
        <v>23086</v>
      </c>
      <c r="L30" s="236">
        <v>30000</v>
      </c>
      <c r="M30" s="237">
        <v>297175.94</v>
      </c>
      <c r="N30" s="238">
        <f t="shared" si="2"/>
        <v>98657.040000000008</v>
      </c>
      <c r="O30" s="239">
        <v>39221.85</v>
      </c>
      <c r="P30" s="240">
        <f t="shared" si="1"/>
        <v>53491.669200000004</v>
      </c>
      <c r="Q30" s="241">
        <v>6057.27</v>
      </c>
      <c r="R30" s="230">
        <v>1838</v>
      </c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223"/>
      <c r="AV30" s="223"/>
      <c r="AW30" s="223"/>
      <c r="AX30" s="223"/>
      <c r="AY30" s="223"/>
      <c r="AZ30" s="223"/>
      <c r="BA30" s="223"/>
    </row>
    <row r="31" spans="1:53">
      <c r="A31" s="266" t="s">
        <v>457</v>
      </c>
      <c r="B31" s="267" t="s">
        <v>458</v>
      </c>
      <c r="C31" s="267" t="s">
        <v>244</v>
      </c>
      <c r="D31" s="267" t="s">
        <v>459</v>
      </c>
      <c r="E31" s="267" t="s">
        <v>136</v>
      </c>
      <c r="F31" s="267" t="s">
        <v>417</v>
      </c>
      <c r="G31" s="268">
        <v>14670.23</v>
      </c>
      <c r="H31" s="268">
        <f t="shared" si="0"/>
        <v>176042.76</v>
      </c>
      <c r="I31" s="234" t="s">
        <v>409</v>
      </c>
      <c r="J31" s="235">
        <v>45000</v>
      </c>
      <c r="K31" s="235">
        <v>37489</v>
      </c>
      <c r="L31" s="236">
        <v>40000</v>
      </c>
      <c r="M31" s="237">
        <v>615032</v>
      </c>
      <c r="N31" s="238">
        <f t="shared" si="2"/>
        <v>176042.76</v>
      </c>
      <c r="O31" s="239">
        <v>53036.36</v>
      </c>
      <c r="P31" s="240">
        <f t="shared" si="1"/>
        <v>110705.76000000001</v>
      </c>
      <c r="Q31" s="241">
        <v>6057.27</v>
      </c>
      <c r="R31" s="230">
        <f>5248+36</f>
        <v>5284</v>
      </c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</row>
    <row r="32" spans="1:53">
      <c r="A32" s="269" t="s">
        <v>460</v>
      </c>
      <c r="B32" s="270" t="s">
        <v>461</v>
      </c>
      <c r="C32" s="270" t="s">
        <v>462</v>
      </c>
      <c r="D32" s="270" t="s">
        <v>463</v>
      </c>
      <c r="E32" s="270" t="s">
        <v>394</v>
      </c>
      <c r="F32" s="270" t="s">
        <v>419</v>
      </c>
      <c r="G32" s="271">
        <v>40000</v>
      </c>
      <c r="H32" s="271">
        <f t="shared" si="0"/>
        <v>480000</v>
      </c>
      <c r="I32" s="234" t="s">
        <v>464</v>
      </c>
      <c r="J32" s="235">
        <v>10000</v>
      </c>
      <c r="K32" s="235">
        <v>11306</v>
      </c>
      <c r="L32" s="236">
        <v>15000</v>
      </c>
      <c r="M32" s="237">
        <v>1367901.39</v>
      </c>
      <c r="N32" s="238">
        <f t="shared" si="2"/>
        <v>480000</v>
      </c>
      <c r="O32" s="239">
        <v>206419.72</v>
      </c>
      <c r="P32" s="240">
        <f t="shared" si="1"/>
        <v>246222.25019999998</v>
      </c>
      <c r="Q32" s="241">
        <v>9717.98</v>
      </c>
      <c r="R32" s="230">
        <f>5248+36</f>
        <v>5284</v>
      </c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223"/>
      <c r="AU32" s="223"/>
      <c r="AV32" s="223"/>
      <c r="AW32" s="223"/>
      <c r="AX32" s="223"/>
      <c r="AY32" s="223"/>
      <c r="AZ32" s="223"/>
      <c r="BA32" s="223"/>
    </row>
    <row r="33" spans="1:53">
      <c r="A33" s="245" t="s">
        <v>465</v>
      </c>
      <c r="B33" s="246" t="s">
        <v>466</v>
      </c>
      <c r="C33" s="246" t="s">
        <v>429</v>
      </c>
      <c r="D33" s="246" t="s">
        <v>269</v>
      </c>
      <c r="E33" s="246" t="s">
        <v>108</v>
      </c>
      <c r="F33" s="246" t="s">
        <v>408</v>
      </c>
      <c r="G33" s="247">
        <v>4954.3900000000003</v>
      </c>
      <c r="H33" s="247">
        <f t="shared" si="0"/>
        <v>59452.680000000008</v>
      </c>
      <c r="I33" s="234" t="s">
        <v>409</v>
      </c>
      <c r="J33" s="235">
        <v>12000</v>
      </c>
      <c r="K33" s="235">
        <v>6805</v>
      </c>
      <c r="L33" s="236">
        <v>10000</v>
      </c>
      <c r="M33" s="237">
        <v>225014.33</v>
      </c>
      <c r="N33" s="238">
        <f t="shared" si="2"/>
        <v>59452.680000000008</v>
      </c>
      <c r="O33" s="239">
        <v>14449.81</v>
      </c>
      <c r="P33" s="240">
        <f t="shared" si="1"/>
        <v>40502.579400000002</v>
      </c>
      <c r="Q33" s="241">
        <v>5481.62</v>
      </c>
      <c r="R33" s="230">
        <f t="shared" ref="R33:R34" si="6">347+36</f>
        <v>383</v>
      </c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3"/>
      <c r="AY33" s="223"/>
      <c r="AZ33" s="223"/>
      <c r="BA33" s="223"/>
    </row>
    <row r="34" spans="1:53">
      <c r="A34" s="272" t="s">
        <v>467</v>
      </c>
      <c r="B34" s="273" t="s">
        <v>468</v>
      </c>
      <c r="C34" s="273" t="s">
        <v>465</v>
      </c>
      <c r="D34" s="273" t="s">
        <v>269</v>
      </c>
      <c r="E34" s="273" t="s">
        <v>394</v>
      </c>
      <c r="F34" s="273" t="s">
        <v>469</v>
      </c>
      <c r="G34" s="274">
        <v>5163.37</v>
      </c>
      <c r="H34" s="274">
        <f t="shared" si="0"/>
        <v>61960.44</v>
      </c>
      <c r="I34" s="234" t="s">
        <v>409</v>
      </c>
      <c r="J34" s="235">
        <v>16000</v>
      </c>
      <c r="K34" s="235">
        <v>0</v>
      </c>
      <c r="L34" s="236">
        <v>15000</v>
      </c>
      <c r="M34" s="237">
        <v>235490</v>
      </c>
      <c r="N34" s="238">
        <f t="shared" si="2"/>
        <v>61960.44</v>
      </c>
      <c r="O34" s="239">
        <v>14862.44</v>
      </c>
      <c r="P34" s="240">
        <f t="shared" si="1"/>
        <v>42388.2</v>
      </c>
      <c r="Q34" s="241">
        <v>5481.62</v>
      </c>
      <c r="R34" s="230">
        <f t="shared" si="6"/>
        <v>383</v>
      </c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  <c r="AT34" s="223"/>
      <c r="AU34" s="223"/>
      <c r="AV34" s="223"/>
      <c r="AW34" s="223"/>
      <c r="AX34" s="223"/>
      <c r="AY34" s="223"/>
      <c r="AZ34" s="223"/>
      <c r="BA34" s="223"/>
    </row>
    <row r="35" spans="1:53">
      <c r="A35" s="275" t="s">
        <v>470</v>
      </c>
      <c r="B35" s="276" t="s">
        <v>315</v>
      </c>
      <c r="C35" s="276" t="s">
        <v>471</v>
      </c>
      <c r="D35" s="276" t="s">
        <v>472</v>
      </c>
      <c r="E35" s="276" t="s">
        <v>431</v>
      </c>
      <c r="F35" s="276" t="s">
        <v>473</v>
      </c>
      <c r="G35" s="277">
        <v>9227.8799999999992</v>
      </c>
      <c r="H35" s="277">
        <f t="shared" si="0"/>
        <v>110734.56</v>
      </c>
      <c r="I35" s="234" t="s">
        <v>409</v>
      </c>
      <c r="J35" s="235">
        <v>800</v>
      </c>
      <c r="K35" s="235">
        <v>5094</v>
      </c>
      <c r="L35" s="236">
        <v>10000</v>
      </c>
      <c r="M35" s="237">
        <v>347126.5</v>
      </c>
      <c r="N35" s="238">
        <f t="shared" si="2"/>
        <v>110734.56</v>
      </c>
      <c r="O35" s="239">
        <v>41309.26</v>
      </c>
      <c r="P35" s="240">
        <f t="shared" si="1"/>
        <v>62482.770000000004</v>
      </c>
      <c r="Q35" s="241">
        <v>6057.27</v>
      </c>
      <c r="R35" s="230">
        <v>1838</v>
      </c>
      <c r="V35" s="223"/>
      <c r="W35" s="223"/>
      <c r="X35" s="223"/>
      <c r="Y35" s="223"/>
      <c r="Z35" s="223"/>
      <c r="AA35" s="223"/>
      <c r="AB35" s="223"/>
      <c r="AC35" s="223"/>
      <c r="AD35" s="223"/>
      <c r="AE35" s="223"/>
      <c r="AF35" s="223"/>
      <c r="AG35" s="223"/>
      <c r="AH35" s="223"/>
      <c r="AI35" s="223"/>
      <c r="AJ35" s="223"/>
      <c r="AK35" s="223"/>
      <c r="AL35" s="223"/>
      <c r="AM35" s="223"/>
      <c r="AN35" s="223"/>
      <c r="AO35" s="223"/>
      <c r="AP35" s="223"/>
      <c r="AQ35" s="223"/>
      <c r="AR35" s="223"/>
      <c r="AS35" s="223"/>
      <c r="AT35" s="223"/>
      <c r="AU35" s="223"/>
      <c r="AV35" s="223"/>
      <c r="AW35" s="223"/>
      <c r="AX35" s="223"/>
      <c r="AY35" s="223"/>
      <c r="AZ35" s="223"/>
      <c r="BA35" s="223"/>
    </row>
    <row r="36" spans="1:53">
      <c r="A36" s="263" t="s">
        <v>474</v>
      </c>
      <c r="B36" s="264" t="s">
        <v>311</v>
      </c>
      <c r="C36" s="264" t="s">
        <v>475</v>
      </c>
      <c r="D36" s="264" t="s">
        <v>270</v>
      </c>
      <c r="E36" s="264" t="s">
        <v>431</v>
      </c>
      <c r="F36" s="264" t="s">
        <v>452</v>
      </c>
      <c r="G36" s="265">
        <v>8221.42</v>
      </c>
      <c r="H36" s="265">
        <f t="shared" si="0"/>
        <v>98657.040000000008</v>
      </c>
      <c r="I36" s="234" t="s">
        <v>409</v>
      </c>
      <c r="J36" s="235">
        <v>3000</v>
      </c>
      <c r="K36" s="235">
        <v>1646</v>
      </c>
      <c r="L36" s="236">
        <v>5000</v>
      </c>
      <c r="M36" s="237">
        <v>297175.94</v>
      </c>
      <c r="N36" s="238">
        <f t="shared" si="2"/>
        <v>98657.040000000008</v>
      </c>
      <c r="O36" s="239">
        <v>39221.85</v>
      </c>
      <c r="P36" s="240">
        <f t="shared" si="1"/>
        <v>53491.669200000004</v>
      </c>
      <c r="Q36" s="241">
        <v>6057.27</v>
      </c>
      <c r="R36" s="230">
        <v>1838</v>
      </c>
      <c r="V36" s="223"/>
      <c r="W36" s="223"/>
      <c r="X36" s="223"/>
      <c r="Y36" s="223"/>
      <c r="Z36" s="223"/>
      <c r="AA36" s="223"/>
      <c r="AB36" s="223"/>
      <c r="AC36" s="223"/>
      <c r="AD36" s="223"/>
      <c r="AE36" s="223"/>
      <c r="AF36" s="223"/>
      <c r="AG36" s="223"/>
      <c r="AH36" s="223"/>
      <c r="AI36" s="223"/>
      <c r="AJ36" s="223"/>
      <c r="AK36" s="223"/>
      <c r="AL36" s="223"/>
      <c r="AM36" s="223"/>
      <c r="AN36" s="223"/>
      <c r="AO36" s="223"/>
      <c r="AP36" s="223"/>
      <c r="AQ36" s="223"/>
      <c r="AR36" s="223"/>
      <c r="AS36" s="223"/>
      <c r="AT36" s="223"/>
      <c r="AU36" s="223"/>
      <c r="AV36" s="223"/>
      <c r="AW36" s="223"/>
      <c r="AX36" s="223"/>
      <c r="AY36" s="223"/>
      <c r="AZ36" s="223"/>
      <c r="BA36" s="223"/>
    </row>
    <row r="37" spans="1:53">
      <c r="A37" s="263" t="s">
        <v>476</v>
      </c>
      <c r="B37" s="264" t="s">
        <v>477</v>
      </c>
      <c r="C37" s="264" t="s">
        <v>478</v>
      </c>
      <c r="D37" s="264" t="s">
        <v>270</v>
      </c>
      <c r="E37" s="264" t="s">
        <v>66</v>
      </c>
      <c r="F37" s="264" t="s">
        <v>452</v>
      </c>
      <c r="G37" s="265">
        <v>8221.42</v>
      </c>
      <c r="H37" s="265">
        <f t="shared" si="0"/>
        <v>98657.040000000008</v>
      </c>
      <c r="I37" s="234" t="s">
        <v>409</v>
      </c>
      <c r="J37" s="235">
        <v>10000</v>
      </c>
      <c r="K37" s="235">
        <v>12980</v>
      </c>
      <c r="L37" s="236">
        <v>15000</v>
      </c>
      <c r="M37" s="237">
        <v>297175.94</v>
      </c>
      <c r="N37" s="238">
        <f t="shared" si="2"/>
        <v>98657.040000000008</v>
      </c>
      <c r="O37" s="239">
        <v>39221.85</v>
      </c>
      <c r="P37" s="240">
        <f t="shared" si="1"/>
        <v>53491.669200000004</v>
      </c>
      <c r="Q37" s="241">
        <v>6057.27</v>
      </c>
      <c r="R37" s="230">
        <v>1838</v>
      </c>
      <c r="V37" s="223"/>
      <c r="W37" s="223"/>
      <c r="X37" s="223"/>
      <c r="Y37" s="223"/>
      <c r="Z37" s="223"/>
      <c r="AA37" s="223"/>
      <c r="AB37" s="223"/>
      <c r="AC37" s="223"/>
      <c r="AD37" s="223"/>
      <c r="AE37" s="223"/>
      <c r="AF37" s="223"/>
      <c r="AG37" s="223"/>
      <c r="AH37" s="223"/>
      <c r="AI37" s="223"/>
      <c r="AJ37" s="223"/>
      <c r="AK37" s="223"/>
      <c r="AL37" s="223"/>
      <c r="AM37" s="223"/>
      <c r="AN37" s="223"/>
      <c r="AO37" s="223"/>
      <c r="AP37" s="223"/>
      <c r="AQ37" s="223"/>
      <c r="AR37" s="223"/>
      <c r="AS37" s="223"/>
      <c r="AT37" s="223"/>
      <c r="AU37" s="223"/>
      <c r="AV37" s="223"/>
      <c r="AW37" s="223"/>
      <c r="AX37" s="223"/>
      <c r="AY37" s="223"/>
      <c r="AZ37" s="223"/>
      <c r="BA37" s="223"/>
    </row>
    <row r="38" spans="1:53">
      <c r="A38" s="263" t="s">
        <v>479</v>
      </c>
      <c r="B38" s="264" t="s">
        <v>312</v>
      </c>
      <c r="C38" s="264" t="s">
        <v>480</v>
      </c>
      <c r="D38" s="264" t="s">
        <v>270</v>
      </c>
      <c r="E38" s="264" t="s">
        <v>431</v>
      </c>
      <c r="F38" s="264" t="s">
        <v>452</v>
      </c>
      <c r="G38" s="265">
        <v>8221.42</v>
      </c>
      <c r="H38" s="265">
        <f t="shared" si="0"/>
        <v>98657.040000000008</v>
      </c>
      <c r="I38" s="234" t="s">
        <v>409</v>
      </c>
      <c r="J38" s="235">
        <v>12000</v>
      </c>
      <c r="K38" s="235">
        <v>8992</v>
      </c>
      <c r="L38" s="236">
        <v>10000</v>
      </c>
      <c r="M38" s="237">
        <v>297175.94</v>
      </c>
      <c r="N38" s="238">
        <f t="shared" si="2"/>
        <v>98657.040000000008</v>
      </c>
      <c r="O38" s="239">
        <v>39221.85</v>
      </c>
      <c r="P38" s="240">
        <f t="shared" si="1"/>
        <v>53491.669200000004</v>
      </c>
      <c r="Q38" s="241">
        <v>6057.27</v>
      </c>
      <c r="R38" s="230">
        <v>1838</v>
      </c>
      <c r="V38" s="223"/>
      <c r="W38" s="223"/>
      <c r="X38" s="223"/>
      <c r="Y38" s="223"/>
      <c r="Z38" s="223"/>
      <c r="AA38" s="223"/>
      <c r="AB38" s="223"/>
      <c r="AC38" s="223"/>
      <c r="AD38" s="223"/>
      <c r="AE38" s="223"/>
      <c r="AF38" s="223"/>
      <c r="AG38" s="223"/>
      <c r="AH38" s="223"/>
      <c r="AI38" s="223"/>
      <c r="AJ38" s="223"/>
      <c r="AK38" s="223"/>
      <c r="AL38" s="223"/>
      <c r="AM38" s="223"/>
      <c r="AN38" s="223"/>
      <c r="AO38" s="223"/>
      <c r="AP38" s="223"/>
      <c r="AQ38" s="223"/>
      <c r="AR38" s="223"/>
      <c r="AS38" s="223"/>
      <c r="AT38" s="223"/>
      <c r="AU38" s="223"/>
      <c r="AV38" s="223"/>
      <c r="AW38" s="223"/>
      <c r="AX38" s="223"/>
      <c r="AY38" s="223"/>
      <c r="AZ38" s="223"/>
      <c r="BA38" s="223"/>
    </row>
    <row r="39" spans="1:53">
      <c r="A39" s="263" t="s">
        <v>481</v>
      </c>
      <c r="B39" s="264" t="s">
        <v>313</v>
      </c>
      <c r="C39" s="264" t="s">
        <v>482</v>
      </c>
      <c r="D39" s="264" t="s">
        <v>270</v>
      </c>
      <c r="E39" s="264" t="s">
        <v>431</v>
      </c>
      <c r="F39" s="264" t="s">
        <v>452</v>
      </c>
      <c r="G39" s="265">
        <v>8221.42</v>
      </c>
      <c r="H39" s="265">
        <f t="shared" si="0"/>
        <v>98657.040000000008</v>
      </c>
      <c r="I39" s="234" t="s">
        <v>409</v>
      </c>
      <c r="J39" s="235">
        <v>2500</v>
      </c>
      <c r="K39" s="235">
        <v>11347</v>
      </c>
      <c r="L39" s="236">
        <v>15000</v>
      </c>
      <c r="M39" s="237">
        <v>297175.94</v>
      </c>
      <c r="N39" s="238">
        <f t="shared" si="2"/>
        <v>98657.040000000008</v>
      </c>
      <c r="O39" s="239">
        <v>39221.85</v>
      </c>
      <c r="P39" s="240">
        <f t="shared" si="1"/>
        <v>53491.669200000004</v>
      </c>
      <c r="Q39" s="241">
        <v>6057.27</v>
      </c>
      <c r="R39" s="230">
        <v>1838</v>
      </c>
      <c r="V39" s="223"/>
      <c r="W39" s="223"/>
      <c r="X39" s="223"/>
      <c r="Y39" s="223"/>
      <c r="Z39" s="223"/>
      <c r="AA39" s="223"/>
      <c r="AB39" s="223"/>
      <c r="AC39" s="223"/>
      <c r="AD39" s="223"/>
      <c r="AE39" s="223"/>
      <c r="AF39" s="223"/>
      <c r="AG39" s="223"/>
      <c r="AH39" s="223"/>
      <c r="AI39" s="223"/>
      <c r="AJ39" s="223"/>
      <c r="AK39" s="223"/>
      <c r="AL39" s="223"/>
      <c r="AM39" s="223"/>
      <c r="AN39" s="223"/>
      <c r="AO39" s="223"/>
      <c r="AP39" s="223"/>
      <c r="AQ39" s="223"/>
      <c r="AR39" s="223"/>
      <c r="AS39" s="223"/>
      <c r="AT39" s="223"/>
      <c r="AU39" s="223"/>
      <c r="AV39" s="223"/>
      <c r="AW39" s="223"/>
      <c r="AX39" s="223"/>
      <c r="AY39" s="223"/>
      <c r="AZ39" s="223"/>
      <c r="BA39" s="223"/>
    </row>
    <row r="40" spans="1:53">
      <c r="A40" s="263" t="s">
        <v>483</v>
      </c>
      <c r="B40" s="264" t="s">
        <v>314</v>
      </c>
      <c r="C40" s="264" t="s">
        <v>484</v>
      </c>
      <c r="D40" s="264" t="s">
        <v>270</v>
      </c>
      <c r="E40" s="264" t="s">
        <v>431</v>
      </c>
      <c r="F40" s="264" t="s">
        <v>452</v>
      </c>
      <c r="G40" s="265">
        <v>8221.42</v>
      </c>
      <c r="H40" s="265">
        <f t="shared" si="0"/>
        <v>98657.040000000008</v>
      </c>
      <c r="I40" s="234" t="s">
        <v>409</v>
      </c>
      <c r="J40" s="235">
        <v>10000</v>
      </c>
      <c r="K40" s="235">
        <v>5660</v>
      </c>
      <c r="L40" s="236">
        <v>10000</v>
      </c>
      <c r="M40" s="237">
        <v>297175.94</v>
      </c>
      <c r="N40" s="238">
        <f t="shared" si="2"/>
        <v>98657.040000000008</v>
      </c>
      <c r="O40" s="239">
        <v>39221.85</v>
      </c>
      <c r="P40" s="240">
        <f t="shared" si="1"/>
        <v>53491.669200000004</v>
      </c>
      <c r="Q40" s="241">
        <v>6057.27</v>
      </c>
      <c r="R40" s="230">
        <v>1838</v>
      </c>
      <c r="V40" s="223"/>
      <c r="W40" s="223"/>
      <c r="X40" s="223"/>
      <c r="Y40" s="223"/>
      <c r="Z40" s="223"/>
      <c r="AA40" s="223"/>
      <c r="AB40" s="223"/>
      <c r="AC40" s="223"/>
      <c r="AD40" s="223"/>
      <c r="AE40" s="223"/>
      <c r="AF40" s="223"/>
      <c r="AG40" s="223"/>
      <c r="AH40" s="223"/>
      <c r="AI40" s="223"/>
      <c r="AJ40" s="223"/>
      <c r="AK40" s="223"/>
      <c r="AL40" s="223"/>
      <c r="AM40" s="223"/>
      <c r="AN40" s="223"/>
      <c r="AO40" s="223"/>
      <c r="AP40" s="223"/>
      <c r="AQ40" s="223"/>
      <c r="AR40" s="223"/>
      <c r="AS40" s="223"/>
      <c r="AT40" s="223"/>
      <c r="AU40" s="223"/>
      <c r="AV40" s="223"/>
      <c r="AW40" s="223"/>
      <c r="AX40" s="223"/>
      <c r="AY40" s="223"/>
      <c r="AZ40" s="223"/>
      <c r="BA40" s="223"/>
    </row>
    <row r="41" spans="1:53">
      <c r="A41" s="278" t="s">
        <v>485</v>
      </c>
      <c r="B41" s="279" t="s">
        <v>320</v>
      </c>
      <c r="C41" s="279" t="s">
        <v>486</v>
      </c>
      <c r="D41" s="279" t="s">
        <v>487</v>
      </c>
      <c r="E41" s="279" t="s">
        <v>431</v>
      </c>
      <c r="F41" s="279" t="s">
        <v>488</v>
      </c>
      <c r="G41" s="280">
        <v>15645.86</v>
      </c>
      <c r="H41" s="280">
        <f t="shared" si="0"/>
        <v>187750.32</v>
      </c>
      <c r="I41" s="234" t="s">
        <v>409</v>
      </c>
      <c r="J41" s="235">
        <v>11000</v>
      </c>
      <c r="K41" s="235">
        <v>0</v>
      </c>
      <c r="L41" s="236">
        <v>15000</v>
      </c>
      <c r="M41" s="237">
        <v>663469.5</v>
      </c>
      <c r="N41" s="238">
        <f t="shared" si="2"/>
        <v>187750.32</v>
      </c>
      <c r="O41" s="239">
        <v>55056.42</v>
      </c>
      <c r="P41" s="240">
        <f t="shared" si="1"/>
        <v>119424.51000000001</v>
      </c>
      <c r="Q41" s="241">
        <v>9511.2000000000007</v>
      </c>
      <c r="R41" s="230">
        <f t="shared" ref="R41:R43" si="7">5248+36</f>
        <v>5284</v>
      </c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223"/>
      <c r="AU41" s="223"/>
      <c r="AV41" s="223"/>
      <c r="AW41" s="223"/>
      <c r="AX41" s="223"/>
      <c r="AY41" s="223"/>
      <c r="AZ41" s="223"/>
      <c r="BA41" s="223"/>
    </row>
    <row r="42" spans="1:53">
      <c r="A42" s="278" t="s">
        <v>489</v>
      </c>
      <c r="B42" s="279" t="s">
        <v>321</v>
      </c>
      <c r="C42" s="279" t="s">
        <v>490</v>
      </c>
      <c r="D42" s="279" t="s">
        <v>487</v>
      </c>
      <c r="E42" s="279" t="s">
        <v>431</v>
      </c>
      <c r="F42" s="279" t="s">
        <v>488</v>
      </c>
      <c r="G42" s="280">
        <v>15645.86</v>
      </c>
      <c r="H42" s="280">
        <f t="shared" si="0"/>
        <v>187750.32</v>
      </c>
      <c r="I42" s="234" t="s">
        <v>409</v>
      </c>
      <c r="J42" s="235">
        <v>8000</v>
      </c>
      <c r="K42" s="235">
        <v>7881</v>
      </c>
      <c r="L42" s="236">
        <v>10000</v>
      </c>
      <c r="M42" s="237">
        <v>663469.5</v>
      </c>
      <c r="N42" s="238">
        <f t="shared" si="2"/>
        <v>187750.32</v>
      </c>
      <c r="O42" s="239">
        <v>55056.42</v>
      </c>
      <c r="P42" s="240">
        <f t="shared" si="1"/>
        <v>119424.51000000001</v>
      </c>
      <c r="Q42" s="241">
        <v>9511.2000000000007</v>
      </c>
      <c r="R42" s="230">
        <f t="shared" si="7"/>
        <v>5284</v>
      </c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  <c r="AS42" s="223"/>
      <c r="AT42" s="223"/>
      <c r="AU42" s="223"/>
      <c r="AV42" s="223"/>
      <c r="AW42" s="223"/>
      <c r="AX42" s="223"/>
      <c r="AY42" s="223"/>
      <c r="AZ42" s="223"/>
      <c r="BA42" s="223"/>
    </row>
    <row r="43" spans="1:53">
      <c r="A43" s="281" t="s">
        <v>491</v>
      </c>
      <c r="B43" s="282" t="s">
        <v>318</v>
      </c>
      <c r="C43" s="282" t="s">
        <v>492</v>
      </c>
      <c r="D43" s="282" t="s">
        <v>493</v>
      </c>
      <c r="E43" s="282" t="s">
        <v>431</v>
      </c>
      <c r="F43" s="282" t="s">
        <v>494</v>
      </c>
      <c r="G43" s="283">
        <v>13260.01</v>
      </c>
      <c r="H43" s="283">
        <f t="shared" si="0"/>
        <v>159120.12</v>
      </c>
      <c r="I43" s="234" t="s">
        <v>409</v>
      </c>
      <c r="J43" s="235">
        <v>16000</v>
      </c>
      <c r="K43" s="235">
        <v>7998</v>
      </c>
      <c r="L43" s="236">
        <v>10000</v>
      </c>
      <c r="M43" s="237">
        <v>599155</v>
      </c>
      <c r="N43" s="238">
        <f t="shared" si="2"/>
        <v>159120.12</v>
      </c>
      <c r="O43" s="239">
        <v>39289.120000000003</v>
      </c>
      <c r="P43" s="240">
        <f t="shared" si="1"/>
        <v>107847.9</v>
      </c>
      <c r="Q43" s="241">
        <v>6057.27</v>
      </c>
      <c r="R43" s="230">
        <f t="shared" si="7"/>
        <v>5284</v>
      </c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3"/>
      <c r="AS43" s="223"/>
      <c r="AT43" s="223"/>
      <c r="AU43" s="223"/>
      <c r="AV43" s="223"/>
      <c r="AW43" s="223"/>
      <c r="AX43" s="223"/>
      <c r="AY43" s="223"/>
      <c r="AZ43" s="223"/>
      <c r="BA43" s="223"/>
    </row>
    <row r="44" spans="1:53">
      <c r="A44" s="275" t="s">
        <v>495</v>
      </c>
      <c r="B44" s="276" t="s">
        <v>316</v>
      </c>
      <c r="C44" s="276" t="s">
        <v>496</v>
      </c>
      <c r="D44" s="276" t="s">
        <v>472</v>
      </c>
      <c r="E44" s="276" t="s">
        <v>431</v>
      </c>
      <c r="F44" s="276" t="s">
        <v>473</v>
      </c>
      <c r="G44" s="277">
        <v>9227.8799999999992</v>
      </c>
      <c r="H44" s="277">
        <f t="shared" si="0"/>
        <v>110734.56</v>
      </c>
      <c r="I44" s="234" t="s">
        <v>409</v>
      </c>
      <c r="J44" s="235">
        <v>10000</v>
      </c>
      <c r="K44" s="235">
        <v>4946</v>
      </c>
      <c r="L44" s="236">
        <v>8000</v>
      </c>
      <c r="M44" s="237">
        <v>347126.5</v>
      </c>
      <c r="N44" s="238">
        <f t="shared" si="2"/>
        <v>110734.56</v>
      </c>
      <c r="O44" s="239">
        <v>41309.26</v>
      </c>
      <c r="P44" s="240">
        <f t="shared" si="1"/>
        <v>62482.770000000004</v>
      </c>
      <c r="Q44" s="241">
        <v>6057.27</v>
      </c>
      <c r="R44" s="230">
        <v>1838</v>
      </c>
      <c r="V44" s="223"/>
      <c r="W44" s="223"/>
      <c r="X44" s="223"/>
      <c r="Y44" s="223"/>
      <c r="Z44" s="223"/>
      <c r="AA44" s="223"/>
      <c r="AB44" s="223"/>
      <c r="AC44" s="223"/>
      <c r="AD44" s="223"/>
      <c r="AE44" s="223"/>
      <c r="AF44" s="223"/>
      <c r="AG44" s="223"/>
      <c r="AH44" s="223"/>
      <c r="AI44" s="223"/>
      <c r="AJ44" s="223"/>
      <c r="AK44" s="223"/>
      <c r="AL44" s="223"/>
      <c r="AM44" s="223"/>
      <c r="AN44" s="223"/>
      <c r="AO44" s="223"/>
      <c r="AP44" s="223"/>
      <c r="AQ44" s="223"/>
      <c r="AR44" s="223"/>
      <c r="AS44" s="223"/>
      <c r="AT44" s="223"/>
      <c r="AU44" s="223"/>
      <c r="AV44" s="223"/>
      <c r="AW44" s="223"/>
      <c r="AX44" s="223"/>
      <c r="AY44" s="223"/>
      <c r="AZ44" s="223"/>
      <c r="BA44" s="223"/>
    </row>
    <row r="45" spans="1:53">
      <c r="A45" s="263" t="s">
        <v>471</v>
      </c>
      <c r="B45" s="264" t="s">
        <v>497</v>
      </c>
      <c r="C45" s="264" t="s">
        <v>498</v>
      </c>
      <c r="D45" s="264" t="s">
        <v>270</v>
      </c>
      <c r="E45" s="264" t="s">
        <v>136</v>
      </c>
      <c r="F45" s="264" t="s">
        <v>452</v>
      </c>
      <c r="G45" s="265">
        <v>8221.42</v>
      </c>
      <c r="H45" s="265">
        <f t="shared" si="0"/>
        <v>98657.040000000008</v>
      </c>
      <c r="I45" s="234" t="s">
        <v>409</v>
      </c>
      <c r="J45" s="235">
        <v>12000</v>
      </c>
      <c r="K45" s="235">
        <v>7306</v>
      </c>
      <c r="L45" s="236">
        <v>10000</v>
      </c>
      <c r="M45" s="237">
        <v>297175.94</v>
      </c>
      <c r="N45" s="238">
        <f t="shared" si="2"/>
        <v>98657.040000000008</v>
      </c>
      <c r="O45" s="239">
        <v>39221.85</v>
      </c>
      <c r="P45" s="240">
        <f t="shared" si="1"/>
        <v>53491.669200000004</v>
      </c>
      <c r="Q45" s="241">
        <v>6057.27</v>
      </c>
      <c r="R45" s="230">
        <v>1838</v>
      </c>
      <c r="V45" s="223"/>
      <c r="W45" s="223"/>
      <c r="X45" s="223"/>
      <c r="Y45" s="223"/>
      <c r="Z45" s="223"/>
      <c r="AA45" s="223"/>
      <c r="AB45" s="223"/>
      <c r="AC45" s="223"/>
      <c r="AD45" s="223"/>
      <c r="AE45" s="223"/>
      <c r="AF45" s="223"/>
      <c r="AG45" s="223"/>
      <c r="AH45" s="223"/>
      <c r="AI45" s="223"/>
      <c r="AJ45" s="223"/>
      <c r="AK45" s="223"/>
      <c r="AL45" s="223"/>
      <c r="AM45" s="223"/>
      <c r="AN45" s="223"/>
      <c r="AO45" s="223"/>
      <c r="AP45" s="223"/>
      <c r="AQ45" s="223"/>
      <c r="AR45" s="223"/>
      <c r="AS45" s="223"/>
      <c r="AT45" s="223"/>
      <c r="AU45" s="223"/>
      <c r="AV45" s="223"/>
      <c r="AW45" s="223"/>
      <c r="AX45" s="223"/>
      <c r="AY45" s="223"/>
      <c r="AZ45" s="223"/>
      <c r="BA45" s="223"/>
    </row>
    <row r="46" spans="1:53">
      <c r="A46" s="263" t="s">
        <v>475</v>
      </c>
      <c r="B46" s="264" t="s">
        <v>499</v>
      </c>
      <c r="C46" s="264" t="s">
        <v>500</v>
      </c>
      <c r="D46" s="264" t="s">
        <v>270</v>
      </c>
      <c r="E46" s="264" t="s">
        <v>66</v>
      </c>
      <c r="F46" s="264" t="s">
        <v>452</v>
      </c>
      <c r="G46" s="265">
        <v>8221.42</v>
      </c>
      <c r="H46" s="265">
        <f t="shared" si="0"/>
        <v>98657.040000000008</v>
      </c>
      <c r="I46" s="234" t="s">
        <v>409</v>
      </c>
      <c r="J46" s="235">
        <v>9000</v>
      </c>
      <c r="K46" s="235">
        <v>7542</v>
      </c>
      <c r="L46" s="236">
        <v>10000</v>
      </c>
      <c r="M46" s="237">
        <v>297175.94</v>
      </c>
      <c r="N46" s="238">
        <f t="shared" si="2"/>
        <v>98657.040000000008</v>
      </c>
      <c r="O46" s="239">
        <v>39221.85</v>
      </c>
      <c r="P46" s="240">
        <f t="shared" si="1"/>
        <v>53491.669200000004</v>
      </c>
      <c r="Q46" s="241">
        <v>6057.27</v>
      </c>
      <c r="R46" s="230">
        <v>1838</v>
      </c>
      <c r="V46" s="223"/>
      <c r="W46" s="223"/>
      <c r="X46" s="223"/>
      <c r="Y46" s="223"/>
      <c r="Z46" s="223"/>
      <c r="AA46" s="223"/>
      <c r="AB46" s="223"/>
      <c r="AC46" s="223"/>
      <c r="AD46" s="223"/>
      <c r="AE46" s="223"/>
      <c r="AF46" s="223"/>
      <c r="AG46" s="223"/>
      <c r="AH46" s="223"/>
      <c r="AI46" s="223"/>
      <c r="AJ46" s="223"/>
      <c r="AK46" s="223"/>
      <c r="AL46" s="223"/>
      <c r="AM46" s="223"/>
      <c r="AN46" s="223"/>
      <c r="AO46" s="223"/>
      <c r="AP46" s="223"/>
      <c r="AQ46" s="223"/>
      <c r="AR46" s="223"/>
      <c r="AS46" s="223"/>
      <c r="AT46" s="223"/>
      <c r="AU46" s="223"/>
      <c r="AV46" s="223"/>
      <c r="AW46" s="223"/>
      <c r="AX46" s="223"/>
      <c r="AY46" s="223"/>
      <c r="AZ46" s="223"/>
      <c r="BA46" s="223"/>
    </row>
    <row r="47" spans="1:53">
      <c r="A47" s="263" t="s">
        <v>478</v>
      </c>
      <c r="B47" s="264" t="s">
        <v>501</v>
      </c>
      <c r="C47" s="264" t="s">
        <v>502</v>
      </c>
      <c r="D47" s="264" t="s">
        <v>270</v>
      </c>
      <c r="E47" s="264" t="s">
        <v>136</v>
      </c>
      <c r="F47" s="264" t="s">
        <v>452</v>
      </c>
      <c r="G47" s="265">
        <v>8221.42</v>
      </c>
      <c r="H47" s="265">
        <f t="shared" si="0"/>
        <v>98657.040000000008</v>
      </c>
      <c r="I47" s="234" t="s">
        <v>409</v>
      </c>
      <c r="J47" s="235">
        <v>15000</v>
      </c>
      <c r="K47" s="235">
        <v>0</v>
      </c>
      <c r="L47" s="236">
        <v>15000</v>
      </c>
      <c r="M47" s="237">
        <v>297175.94</v>
      </c>
      <c r="N47" s="238">
        <f t="shared" si="2"/>
        <v>98657.040000000008</v>
      </c>
      <c r="O47" s="239">
        <v>39221.85</v>
      </c>
      <c r="P47" s="240">
        <f t="shared" si="1"/>
        <v>53491.669200000004</v>
      </c>
      <c r="Q47" s="241">
        <v>6057.27</v>
      </c>
      <c r="R47" s="230">
        <v>1838</v>
      </c>
      <c r="V47" s="223"/>
      <c r="W47" s="223"/>
      <c r="X47" s="223"/>
      <c r="Y47" s="223"/>
      <c r="Z47" s="223"/>
      <c r="AA47" s="223"/>
      <c r="AB47" s="223"/>
      <c r="AC47" s="223"/>
      <c r="AD47" s="223"/>
      <c r="AE47" s="223"/>
      <c r="AF47" s="223"/>
      <c r="AG47" s="223"/>
      <c r="AH47" s="223"/>
      <c r="AI47" s="223"/>
      <c r="AJ47" s="223"/>
      <c r="AK47" s="223"/>
      <c r="AL47" s="223"/>
      <c r="AM47" s="223"/>
      <c r="AN47" s="223"/>
      <c r="AO47" s="223"/>
      <c r="AP47" s="223"/>
      <c r="AQ47" s="223"/>
      <c r="AR47" s="223"/>
      <c r="AS47" s="223"/>
      <c r="AT47" s="223"/>
      <c r="AU47" s="223"/>
      <c r="AV47" s="223"/>
      <c r="AW47" s="223"/>
      <c r="AX47" s="223"/>
      <c r="AY47" s="223"/>
      <c r="AZ47" s="223"/>
      <c r="BA47" s="223"/>
    </row>
    <row r="48" spans="1:53">
      <c r="A48" s="263" t="s">
        <v>480</v>
      </c>
      <c r="B48" s="264" t="s">
        <v>503</v>
      </c>
      <c r="C48" s="264" t="s">
        <v>504</v>
      </c>
      <c r="D48" s="264" t="s">
        <v>270</v>
      </c>
      <c r="E48" s="264" t="s">
        <v>64</v>
      </c>
      <c r="F48" s="264" t="s">
        <v>452</v>
      </c>
      <c r="G48" s="265">
        <v>8221.42</v>
      </c>
      <c r="H48" s="265">
        <f t="shared" si="0"/>
        <v>98657.040000000008</v>
      </c>
      <c r="I48" s="234" t="s">
        <v>409</v>
      </c>
      <c r="J48" s="235">
        <v>25000</v>
      </c>
      <c r="K48" s="235">
        <v>16190</v>
      </c>
      <c r="L48" s="236">
        <v>20000</v>
      </c>
      <c r="M48" s="237">
        <v>297175.94</v>
      </c>
      <c r="N48" s="238">
        <f t="shared" si="2"/>
        <v>98657.040000000008</v>
      </c>
      <c r="O48" s="239">
        <v>39221.85</v>
      </c>
      <c r="P48" s="240">
        <f t="shared" si="1"/>
        <v>53491.669200000004</v>
      </c>
      <c r="Q48" s="241">
        <v>6057.27</v>
      </c>
      <c r="R48" s="230">
        <v>1838</v>
      </c>
      <c r="V48" s="223"/>
      <c r="W48" s="223"/>
      <c r="X48" s="223"/>
      <c r="Y48" s="223"/>
      <c r="Z48" s="223"/>
      <c r="AA48" s="223"/>
      <c r="AB48" s="223"/>
      <c r="AC48" s="223"/>
      <c r="AD48" s="223"/>
      <c r="AE48" s="223"/>
      <c r="AF48" s="223"/>
      <c r="AG48" s="223"/>
      <c r="AH48" s="223"/>
      <c r="AI48" s="223"/>
      <c r="AJ48" s="223"/>
      <c r="AK48" s="223"/>
      <c r="AL48" s="223"/>
      <c r="AM48" s="223"/>
      <c r="AN48" s="223"/>
      <c r="AO48" s="223"/>
      <c r="AP48" s="223"/>
      <c r="AQ48" s="223"/>
      <c r="AR48" s="223"/>
      <c r="AS48" s="223"/>
      <c r="AT48" s="223"/>
      <c r="AU48" s="223"/>
      <c r="AV48" s="223"/>
      <c r="AW48" s="223"/>
      <c r="AX48" s="223"/>
      <c r="AY48" s="223"/>
      <c r="AZ48" s="223"/>
      <c r="BA48" s="223"/>
    </row>
    <row r="49" spans="1:53">
      <c r="A49" s="284" t="s">
        <v>482</v>
      </c>
      <c r="B49" s="285" t="s">
        <v>505</v>
      </c>
      <c r="C49" s="285" t="s">
        <v>506</v>
      </c>
      <c r="D49" s="285" t="s">
        <v>507</v>
      </c>
      <c r="E49" s="285" t="s">
        <v>138</v>
      </c>
      <c r="F49" s="285" t="s">
        <v>508</v>
      </c>
      <c r="G49" s="286">
        <v>13362.3</v>
      </c>
      <c r="H49" s="286">
        <f t="shared" si="0"/>
        <v>160347.59999999998</v>
      </c>
      <c r="I49" s="234" t="s">
        <v>409</v>
      </c>
      <c r="J49" s="235">
        <v>40000</v>
      </c>
      <c r="K49" s="235">
        <v>8193</v>
      </c>
      <c r="L49" s="236">
        <v>10000</v>
      </c>
      <c r="M49" s="237">
        <v>532068</v>
      </c>
      <c r="N49" s="238">
        <f t="shared" si="2"/>
        <v>160347.59999999998</v>
      </c>
      <c r="O49" s="239">
        <v>53934</v>
      </c>
      <c r="P49" s="240">
        <f t="shared" si="1"/>
        <v>95772.24</v>
      </c>
      <c r="Q49" s="241">
        <v>6057.27</v>
      </c>
      <c r="R49" s="230">
        <f>5248+36</f>
        <v>5284</v>
      </c>
      <c r="V49" s="223"/>
      <c r="W49" s="223"/>
      <c r="X49" s="223"/>
      <c r="Y49" s="223"/>
      <c r="Z49" s="223"/>
      <c r="AA49" s="223"/>
      <c r="AB49" s="223"/>
      <c r="AC49" s="223"/>
      <c r="AD49" s="223"/>
      <c r="AE49" s="223"/>
      <c r="AF49" s="223"/>
      <c r="AG49" s="223"/>
      <c r="AH49" s="223"/>
      <c r="AI49" s="223"/>
      <c r="AJ49" s="223"/>
      <c r="AK49" s="223"/>
      <c r="AL49" s="223"/>
      <c r="AM49" s="223"/>
      <c r="AN49" s="223"/>
      <c r="AO49" s="223"/>
      <c r="AP49" s="223"/>
      <c r="AQ49" s="223"/>
      <c r="AR49" s="223"/>
      <c r="AS49" s="223"/>
      <c r="AT49" s="223"/>
      <c r="AU49" s="223"/>
      <c r="AV49" s="223"/>
      <c r="AW49" s="223"/>
      <c r="AX49" s="223"/>
      <c r="AY49" s="223"/>
      <c r="AZ49" s="223"/>
      <c r="BA49" s="223"/>
    </row>
    <row r="50" spans="1:53">
      <c r="A50" s="287" t="s">
        <v>484</v>
      </c>
      <c r="B50" s="288" t="s">
        <v>509</v>
      </c>
      <c r="C50" s="288" t="s">
        <v>510</v>
      </c>
      <c r="D50" s="288" t="s">
        <v>511</v>
      </c>
      <c r="E50" s="288" t="s">
        <v>66</v>
      </c>
      <c r="F50" s="288" t="s">
        <v>512</v>
      </c>
      <c r="G50" s="289">
        <v>10212.11</v>
      </c>
      <c r="H50" s="289">
        <f t="shared" si="0"/>
        <v>122545.32</v>
      </c>
      <c r="I50" s="234" t="s">
        <v>409</v>
      </c>
      <c r="J50" s="235">
        <v>16000</v>
      </c>
      <c r="K50" s="235">
        <v>1258</v>
      </c>
      <c r="L50" s="236">
        <v>5000</v>
      </c>
      <c r="M50" s="237">
        <v>330991</v>
      </c>
      <c r="N50" s="238">
        <f t="shared" si="2"/>
        <v>122545.32</v>
      </c>
      <c r="O50" s="239">
        <v>56347.12</v>
      </c>
      <c r="P50" s="240">
        <f t="shared" si="1"/>
        <v>59578.380000000005</v>
      </c>
      <c r="Q50" s="241">
        <v>6057.27</v>
      </c>
      <c r="R50" s="230">
        <v>1838</v>
      </c>
      <c r="V50" s="223"/>
      <c r="W50" s="223"/>
      <c r="X50" s="223"/>
      <c r="Y50" s="223"/>
      <c r="Z50" s="223"/>
      <c r="AA50" s="223"/>
      <c r="AB50" s="223"/>
      <c r="AC50" s="223"/>
      <c r="AD50" s="223"/>
      <c r="AE50" s="223"/>
      <c r="AF50" s="223"/>
      <c r="AG50" s="223"/>
      <c r="AH50" s="223"/>
      <c r="AI50" s="223"/>
      <c r="AJ50" s="223"/>
      <c r="AK50" s="223"/>
      <c r="AL50" s="223"/>
      <c r="AM50" s="223"/>
      <c r="AN50" s="223"/>
      <c r="AO50" s="223"/>
      <c r="AP50" s="223"/>
      <c r="AQ50" s="223"/>
      <c r="AR50" s="223"/>
      <c r="AS50" s="223"/>
      <c r="AT50" s="223"/>
      <c r="AU50" s="223"/>
      <c r="AV50" s="223"/>
      <c r="AW50" s="223"/>
      <c r="AX50" s="223"/>
      <c r="AY50" s="223"/>
      <c r="AZ50" s="223"/>
      <c r="BA50" s="223"/>
    </row>
    <row r="51" spans="1:53">
      <c r="A51" s="263" t="s">
        <v>513</v>
      </c>
      <c r="B51" s="264" t="s">
        <v>514</v>
      </c>
      <c r="C51" s="264" t="s">
        <v>515</v>
      </c>
      <c r="D51" s="264" t="s">
        <v>270</v>
      </c>
      <c r="E51" s="264" t="s">
        <v>65</v>
      </c>
      <c r="F51" s="264" t="s">
        <v>452</v>
      </c>
      <c r="G51" s="265">
        <v>8221.42</v>
      </c>
      <c r="H51" s="265">
        <f t="shared" si="0"/>
        <v>98657.040000000008</v>
      </c>
      <c r="I51" s="234" t="s">
        <v>409</v>
      </c>
      <c r="J51" s="235">
        <v>5000</v>
      </c>
      <c r="K51" s="235">
        <v>3477</v>
      </c>
      <c r="L51" s="236">
        <v>8000</v>
      </c>
      <c r="M51" s="237">
        <v>297175.94</v>
      </c>
      <c r="N51" s="238">
        <f t="shared" si="2"/>
        <v>98657.040000000008</v>
      </c>
      <c r="O51" s="239">
        <v>39221.85</v>
      </c>
      <c r="P51" s="240">
        <f t="shared" si="1"/>
        <v>53491.669200000004</v>
      </c>
      <c r="Q51" s="241">
        <v>6057.27</v>
      </c>
      <c r="R51" s="230">
        <v>1838</v>
      </c>
      <c r="V51" s="223"/>
      <c r="W51" s="223"/>
      <c r="X51" s="223"/>
      <c r="Y51" s="223"/>
      <c r="Z51" s="223"/>
      <c r="AA51" s="223"/>
      <c r="AB51" s="223"/>
      <c r="AC51" s="223"/>
      <c r="AD51" s="223"/>
      <c r="AE51" s="223"/>
      <c r="AF51" s="223"/>
      <c r="AG51" s="223"/>
      <c r="AH51" s="223"/>
      <c r="AI51" s="223"/>
      <c r="AJ51" s="223"/>
      <c r="AK51" s="223"/>
      <c r="AL51" s="223"/>
      <c r="AM51" s="223"/>
      <c r="AN51" s="223"/>
      <c r="AO51" s="223"/>
      <c r="AP51" s="223"/>
      <c r="AQ51" s="223"/>
      <c r="AR51" s="223"/>
      <c r="AS51" s="223"/>
      <c r="AT51" s="223"/>
      <c r="AU51" s="223"/>
      <c r="AV51" s="223"/>
      <c r="AW51" s="223"/>
      <c r="AX51" s="223"/>
      <c r="AY51" s="223"/>
      <c r="AZ51" s="223"/>
      <c r="BA51" s="223"/>
    </row>
    <row r="52" spans="1:53">
      <c r="A52" s="252" t="s">
        <v>486</v>
      </c>
      <c r="B52" s="253" t="s">
        <v>304</v>
      </c>
      <c r="C52" s="253" t="s">
        <v>516</v>
      </c>
      <c r="D52" s="253" t="s">
        <v>269</v>
      </c>
      <c r="E52" s="253" t="s">
        <v>431</v>
      </c>
      <c r="F52" s="253" t="s">
        <v>432</v>
      </c>
      <c r="G52" s="254">
        <v>5418.79</v>
      </c>
      <c r="H52" s="254">
        <f t="shared" si="0"/>
        <v>65025.479999999996</v>
      </c>
      <c r="I52" s="234" t="s">
        <v>409</v>
      </c>
      <c r="J52" s="235">
        <v>30000</v>
      </c>
      <c r="K52" s="235">
        <v>14417</v>
      </c>
      <c r="L52" s="236">
        <v>20000</v>
      </c>
      <c r="M52" s="237">
        <v>248070.79</v>
      </c>
      <c r="N52" s="238">
        <f t="shared" si="2"/>
        <v>65025.479999999996</v>
      </c>
      <c r="O52" s="239">
        <v>15411.32</v>
      </c>
      <c r="P52" s="240">
        <f t="shared" si="1"/>
        <v>44652.742200000001</v>
      </c>
      <c r="Q52" s="241">
        <v>5481.62</v>
      </c>
      <c r="R52" s="230">
        <f>347+36</f>
        <v>383</v>
      </c>
      <c r="V52" s="223"/>
      <c r="W52" s="223"/>
      <c r="X52" s="223"/>
      <c r="Y52" s="223"/>
      <c r="Z52" s="223"/>
      <c r="AA52" s="223"/>
      <c r="AB52" s="223"/>
      <c r="AC52" s="223"/>
      <c r="AD52" s="223"/>
      <c r="AE52" s="223"/>
      <c r="AF52" s="223"/>
      <c r="AG52" s="223"/>
      <c r="AH52" s="223"/>
      <c r="AI52" s="223"/>
      <c r="AJ52" s="223"/>
      <c r="AK52" s="223"/>
      <c r="AL52" s="223"/>
      <c r="AM52" s="223"/>
      <c r="AN52" s="223"/>
      <c r="AO52" s="223"/>
      <c r="AP52" s="223"/>
      <c r="AQ52" s="223"/>
      <c r="AR52" s="223"/>
      <c r="AS52" s="223"/>
      <c r="AT52" s="223"/>
      <c r="AU52" s="223"/>
      <c r="AV52" s="223"/>
      <c r="AW52" s="223"/>
      <c r="AX52" s="223"/>
      <c r="AY52" s="223"/>
      <c r="AZ52" s="223"/>
      <c r="BA52" s="223"/>
    </row>
    <row r="53" spans="1:53">
      <c r="A53" s="266" t="s">
        <v>490</v>
      </c>
      <c r="B53" s="267" t="s">
        <v>517</v>
      </c>
      <c r="C53" s="267" t="s">
        <v>518</v>
      </c>
      <c r="D53" s="267" t="s">
        <v>519</v>
      </c>
      <c r="E53" s="267" t="s">
        <v>64</v>
      </c>
      <c r="F53" s="267" t="s">
        <v>520</v>
      </c>
      <c r="G53" s="268">
        <v>13295.81</v>
      </c>
      <c r="H53" s="268">
        <f t="shared" si="0"/>
        <v>159549.72</v>
      </c>
      <c r="I53" s="234" t="s">
        <v>409</v>
      </c>
      <c r="J53" s="235">
        <v>15000</v>
      </c>
      <c r="K53" s="235">
        <v>6513</v>
      </c>
      <c r="L53" s="236">
        <v>10000</v>
      </c>
      <c r="M53" s="237">
        <v>546796.32999999996</v>
      </c>
      <c r="N53" s="238">
        <f t="shared" si="2"/>
        <v>159549.72</v>
      </c>
      <c r="O53" s="239">
        <v>50190.45</v>
      </c>
      <c r="P53" s="240">
        <f t="shared" si="1"/>
        <v>98423.339399999997</v>
      </c>
      <c r="Q53" s="241">
        <v>6057.27</v>
      </c>
      <c r="R53" s="230">
        <f>5248+36</f>
        <v>5284</v>
      </c>
      <c r="V53" s="223"/>
      <c r="W53" s="223"/>
      <c r="X53" s="223"/>
      <c r="Y53" s="223"/>
      <c r="Z53" s="223"/>
      <c r="AA53" s="223"/>
      <c r="AB53" s="223"/>
      <c r="AC53" s="223"/>
      <c r="AD53" s="223"/>
      <c r="AE53" s="223"/>
      <c r="AF53" s="223"/>
      <c r="AG53" s="223"/>
      <c r="AH53" s="223"/>
      <c r="AI53" s="223"/>
      <c r="AJ53" s="223"/>
      <c r="AK53" s="223"/>
      <c r="AL53" s="223"/>
      <c r="AM53" s="223"/>
      <c r="AN53" s="223"/>
      <c r="AO53" s="223"/>
      <c r="AP53" s="223"/>
      <c r="AQ53" s="223"/>
      <c r="AR53" s="223"/>
      <c r="AS53" s="223"/>
      <c r="AT53" s="223"/>
      <c r="AU53" s="223"/>
      <c r="AV53" s="223"/>
      <c r="AW53" s="223"/>
      <c r="AX53" s="223"/>
      <c r="AY53" s="223"/>
      <c r="AZ53" s="223"/>
      <c r="BA53" s="223"/>
    </row>
    <row r="54" spans="1:53">
      <c r="A54" s="263" t="s">
        <v>492</v>
      </c>
      <c r="B54" s="264" t="s">
        <v>521</v>
      </c>
      <c r="C54" s="264" t="s">
        <v>522</v>
      </c>
      <c r="D54" s="264" t="s">
        <v>270</v>
      </c>
      <c r="E54" s="264" t="s">
        <v>64</v>
      </c>
      <c r="F54" s="264" t="s">
        <v>452</v>
      </c>
      <c r="G54" s="265">
        <v>8221.42</v>
      </c>
      <c r="H54" s="265">
        <f t="shared" si="0"/>
        <v>98657.040000000008</v>
      </c>
      <c r="I54" s="234" t="s">
        <v>409</v>
      </c>
      <c r="J54" s="235">
        <v>6000</v>
      </c>
      <c r="K54" s="235">
        <v>10546</v>
      </c>
      <c r="L54" s="236">
        <v>15000</v>
      </c>
      <c r="M54" s="237">
        <v>297175.94</v>
      </c>
      <c r="N54" s="238">
        <f t="shared" si="2"/>
        <v>98657.040000000008</v>
      </c>
      <c r="O54" s="239">
        <v>39221.85</v>
      </c>
      <c r="P54" s="240">
        <f t="shared" si="1"/>
        <v>53491.669200000004</v>
      </c>
      <c r="Q54" s="241">
        <v>6057.27</v>
      </c>
      <c r="R54" s="230">
        <v>1838</v>
      </c>
      <c r="V54" s="223"/>
      <c r="W54" s="223"/>
      <c r="X54" s="223"/>
      <c r="Y54" s="223"/>
      <c r="Z54" s="223"/>
      <c r="AA54" s="223"/>
      <c r="AB54" s="223"/>
      <c r="AC54" s="223"/>
      <c r="AD54" s="223"/>
      <c r="AE54" s="223"/>
      <c r="AF54" s="223"/>
      <c r="AG54" s="223"/>
      <c r="AH54" s="223"/>
      <c r="AI54" s="223"/>
      <c r="AJ54" s="223"/>
      <c r="AK54" s="223"/>
      <c r="AL54" s="223"/>
      <c r="AM54" s="223"/>
      <c r="AN54" s="223"/>
      <c r="AO54" s="223"/>
      <c r="AP54" s="223"/>
      <c r="AQ54" s="223"/>
      <c r="AR54" s="223"/>
      <c r="AS54" s="223"/>
      <c r="AT54" s="223"/>
      <c r="AU54" s="223"/>
      <c r="AV54" s="223"/>
      <c r="AW54" s="223"/>
      <c r="AX54" s="223"/>
      <c r="AY54" s="223"/>
      <c r="AZ54" s="223"/>
      <c r="BA54" s="223"/>
    </row>
    <row r="55" spans="1:53">
      <c r="A55" s="248" t="s">
        <v>523</v>
      </c>
      <c r="B55" s="249" t="s">
        <v>524</v>
      </c>
      <c r="C55" s="250" t="s">
        <v>525</v>
      </c>
      <c r="D55" s="250" t="s">
        <v>267</v>
      </c>
      <c r="E55" s="250" t="s">
        <v>64</v>
      </c>
      <c r="F55" s="250" t="s">
        <v>412</v>
      </c>
      <c r="G55" s="251">
        <v>3437.09</v>
      </c>
      <c r="H55" s="251">
        <f t="shared" si="0"/>
        <v>41245.08</v>
      </c>
      <c r="I55" s="234" t="s">
        <v>396</v>
      </c>
      <c r="J55" s="235">
        <v>230000</v>
      </c>
      <c r="K55" s="235">
        <v>5760</v>
      </c>
      <c r="L55" s="236">
        <v>10000</v>
      </c>
      <c r="M55" s="237">
        <v>151632.72</v>
      </c>
      <c r="N55" s="238">
        <f t="shared" si="2"/>
        <v>41245.08</v>
      </c>
      <c r="O55" s="239">
        <v>10918.54</v>
      </c>
      <c r="P55" s="240">
        <f t="shared" si="1"/>
        <v>27293.889600000002</v>
      </c>
      <c r="Q55" s="241">
        <v>5481.62</v>
      </c>
      <c r="R55" s="230">
        <f t="shared" ref="R55:R58" si="8">293+36</f>
        <v>329</v>
      </c>
      <c r="V55" s="223"/>
      <c r="W55" s="223"/>
      <c r="X55" s="223"/>
      <c r="Y55" s="223"/>
      <c r="Z55" s="223"/>
      <c r="AA55" s="223"/>
      <c r="AB55" s="223"/>
      <c r="AC55" s="223"/>
      <c r="AD55" s="223"/>
      <c r="AE55" s="223"/>
      <c r="AF55" s="223"/>
      <c r="AG55" s="223"/>
      <c r="AH55" s="223"/>
      <c r="AI55" s="223"/>
      <c r="AJ55" s="223"/>
      <c r="AK55" s="223"/>
      <c r="AL55" s="223"/>
      <c r="AM55" s="223"/>
      <c r="AN55" s="223"/>
      <c r="AO55" s="223"/>
      <c r="AP55" s="223"/>
      <c r="AQ55" s="223"/>
      <c r="AR55" s="223"/>
      <c r="AS55" s="223"/>
      <c r="AT55" s="223"/>
      <c r="AU55" s="223"/>
      <c r="AV55" s="223"/>
      <c r="AW55" s="223"/>
      <c r="AX55" s="223"/>
      <c r="AY55" s="223"/>
      <c r="AZ55" s="223"/>
      <c r="BA55" s="223"/>
    </row>
    <row r="56" spans="1:53">
      <c r="A56" s="248" t="s">
        <v>496</v>
      </c>
      <c r="B56" s="249" t="s">
        <v>526</v>
      </c>
      <c r="C56" s="250" t="s">
        <v>527</v>
      </c>
      <c r="D56" s="250" t="s">
        <v>267</v>
      </c>
      <c r="E56" s="250" t="s">
        <v>65</v>
      </c>
      <c r="F56" s="250" t="s">
        <v>412</v>
      </c>
      <c r="G56" s="251">
        <v>3437.09</v>
      </c>
      <c r="H56" s="251">
        <f t="shared" si="0"/>
        <v>41245.08</v>
      </c>
      <c r="I56" s="234" t="s">
        <v>396</v>
      </c>
      <c r="J56" s="235">
        <v>10000</v>
      </c>
      <c r="K56" s="235">
        <v>8219</v>
      </c>
      <c r="L56" s="236">
        <v>10000</v>
      </c>
      <c r="M56" s="237">
        <v>151632.72</v>
      </c>
      <c r="N56" s="238">
        <f t="shared" si="2"/>
        <v>41245.08</v>
      </c>
      <c r="O56" s="239">
        <v>10918.54</v>
      </c>
      <c r="P56" s="240">
        <f t="shared" si="1"/>
        <v>27293.889600000002</v>
      </c>
      <c r="Q56" s="241">
        <v>5481.62</v>
      </c>
      <c r="R56" s="230">
        <f t="shared" si="8"/>
        <v>329</v>
      </c>
      <c r="V56" s="223"/>
      <c r="W56" s="223"/>
      <c r="X56" s="223"/>
      <c r="Y56" s="223"/>
      <c r="Z56" s="223"/>
      <c r="AA56" s="223"/>
      <c r="AB56" s="223"/>
      <c r="AC56" s="223"/>
      <c r="AD56" s="223"/>
      <c r="AE56" s="223"/>
      <c r="AF56" s="223"/>
      <c r="AG56" s="223"/>
      <c r="AH56" s="223"/>
      <c r="AI56" s="223"/>
      <c r="AJ56" s="223"/>
      <c r="AK56" s="223"/>
      <c r="AL56" s="223"/>
      <c r="AM56" s="223"/>
      <c r="AN56" s="223"/>
      <c r="AO56" s="223"/>
      <c r="AP56" s="223"/>
      <c r="AQ56" s="223"/>
      <c r="AR56" s="223"/>
      <c r="AS56" s="223"/>
      <c r="AT56" s="223"/>
      <c r="AU56" s="223"/>
      <c r="AV56" s="223"/>
      <c r="AW56" s="223"/>
      <c r="AX56" s="223"/>
      <c r="AY56" s="223"/>
      <c r="AZ56" s="223"/>
      <c r="BA56" s="223"/>
    </row>
    <row r="57" spans="1:53">
      <c r="A57" s="248" t="s">
        <v>528</v>
      </c>
      <c r="B57" s="249" t="s">
        <v>529</v>
      </c>
      <c r="C57" s="250" t="s">
        <v>530</v>
      </c>
      <c r="D57" s="250" t="s">
        <v>267</v>
      </c>
      <c r="E57" s="250" t="s">
        <v>123</v>
      </c>
      <c r="F57" s="250" t="s">
        <v>412</v>
      </c>
      <c r="G57" s="251">
        <v>3437.09</v>
      </c>
      <c r="H57" s="251">
        <f t="shared" si="0"/>
        <v>41245.08</v>
      </c>
      <c r="I57" s="234" t="s">
        <v>396</v>
      </c>
      <c r="J57" s="235">
        <v>30000</v>
      </c>
      <c r="K57" s="235">
        <v>0</v>
      </c>
      <c r="L57" s="236">
        <v>15000</v>
      </c>
      <c r="M57" s="237">
        <v>151632.72</v>
      </c>
      <c r="N57" s="238">
        <f t="shared" si="2"/>
        <v>41245.08</v>
      </c>
      <c r="O57" s="239">
        <v>10918.54</v>
      </c>
      <c r="P57" s="240">
        <f t="shared" si="1"/>
        <v>27293.889600000002</v>
      </c>
      <c r="Q57" s="241">
        <v>5481.62</v>
      </c>
      <c r="R57" s="230">
        <f t="shared" si="8"/>
        <v>329</v>
      </c>
      <c r="V57" s="223"/>
      <c r="W57" s="223"/>
      <c r="X57" s="223"/>
      <c r="Y57" s="223"/>
      <c r="Z57" s="223"/>
      <c r="AA57" s="223"/>
      <c r="AB57" s="223"/>
      <c r="AC57" s="223"/>
      <c r="AD57" s="223"/>
      <c r="AE57" s="223"/>
      <c r="AF57" s="223"/>
      <c r="AG57" s="223"/>
      <c r="AH57" s="223"/>
      <c r="AI57" s="223"/>
      <c r="AJ57" s="223"/>
      <c r="AK57" s="223"/>
      <c r="AL57" s="223"/>
      <c r="AM57" s="223"/>
      <c r="AN57" s="223"/>
      <c r="AO57" s="223"/>
      <c r="AP57" s="223"/>
      <c r="AQ57" s="223"/>
      <c r="AR57" s="223"/>
      <c r="AS57" s="223"/>
      <c r="AT57" s="223"/>
      <c r="AU57" s="223"/>
      <c r="AV57" s="223"/>
      <c r="AW57" s="223"/>
      <c r="AX57" s="223"/>
      <c r="AY57" s="223"/>
      <c r="AZ57" s="223"/>
      <c r="BA57" s="223"/>
    </row>
    <row r="58" spans="1:53">
      <c r="A58" s="248" t="s">
        <v>531</v>
      </c>
      <c r="B58" s="249" t="s">
        <v>532</v>
      </c>
      <c r="C58" s="250" t="s">
        <v>533</v>
      </c>
      <c r="D58" s="250" t="s">
        <v>267</v>
      </c>
      <c r="E58" s="250" t="s">
        <v>64</v>
      </c>
      <c r="F58" s="250" t="s">
        <v>412</v>
      </c>
      <c r="G58" s="251">
        <v>3437.09</v>
      </c>
      <c r="H58" s="251">
        <f t="shared" si="0"/>
        <v>41245.08</v>
      </c>
      <c r="I58" s="234" t="s">
        <v>396</v>
      </c>
      <c r="J58" s="235">
        <v>10000</v>
      </c>
      <c r="K58" s="235">
        <v>3290</v>
      </c>
      <c r="L58" s="236">
        <v>8000</v>
      </c>
      <c r="M58" s="237">
        <v>151632.72</v>
      </c>
      <c r="N58" s="238">
        <f t="shared" si="2"/>
        <v>41245.08</v>
      </c>
      <c r="O58" s="239">
        <v>10918.54</v>
      </c>
      <c r="P58" s="240">
        <f t="shared" si="1"/>
        <v>27293.889600000002</v>
      </c>
      <c r="Q58" s="241">
        <v>5481.62</v>
      </c>
      <c r="R58" s="230">
        <f t="shared" si="8"/>
        <v>329</v>
      </c>
      <c r="V58" s="223"/>
      <c r="W58" s="223"/>
      <c r="X58" s="223"/>
      <c r="Y58" s="223"/>
      <c r="Z58" s="223"/>
      <c r="AA58" s="223"/>
      <c r="AB58" s="223"/>
      <c r="AC58" s="223"/>
      <c r="AD58" s="223"/>
      <c r="AE58" s="223"/>
      <c r="AF58" s="223"/>
      <c r="AG58" s="223"/>
      <c r="AH58" s="223"/>
      <c r="AI58" s="223"/>
      <c r="AJ58" s="223"/>
      <c r="AK58" s="223"/>
      <c r="AL58" s="223"/>
      <c r="AM58" s="223"/>
      <c r="AN58" s="223"/>
      <c r="AO58" s="223"/>
      <c r="AP58" s="223"/>
      <c r="AQ58" s="223"/>
      <c r="AR58" s="223"/>
      <c r="AS58" s="223"/>
      <c r="AT58" s="223"/>
      <c r="AU58" s="223"/>
      <c r="AV58" s="223"/>
      <c r="AW58" s="223"/>
      <c r="AX58" s="223"/>
      <c r="AY58" s="223"/>
      <c r="AZ58" s="223"/>
      <c r="BA58" s="223"/>
    </row>
    <row r="59" spans="1:53">
      <c r="A59" s="245" t="s">
        <v>534</v>
      </c>
      <c r="B59" s="246" t="s">
        <v>535</v>
      </c>
      <c r="C59" s="246" t="s">
        <v>536</v>
      </c>
      <c r="D59" s="246" t="s">
        <v>269</v>
      </c>
      <c r="E59" s="246" t="s">
        <v>136</v>
      </c>
      <c r="F59" s="246" t="s">
        <v>408</v>
      </c>
      <c r="G59" s="247">
        <v>4954.3900000000003</v>
      </c>
      <c r="H59" s="247">
        <f t="shared" si="0"/>
        <v>59452.680000000008</v>
      </c>
      <c r="I59" s="234" t="s">
        <v>409</v>
      </c>
      <c r="J59" s="235">
        <v>20000</v>
      </c>
      <c r="K59" s="235">
        <v>0</v>
      </c>
      <c r="L59" s="236">
        <v>15000</v>
      </c>
      <c r="M59" s="237">
        <v>225014.33</v>
      </c>
      <c r="N59" s="238">
        <f t="shared" si="2"/>
        <v>59452.680000000008</v>
      </c>
      <c r="O59" s="239">
        <v>14449.81</v>
      </c>
      <c r="P59" s="240">
        <f t="shared" si="1"/>
        <v>40502.579400000002</v>
      </c>
      <c r="Q59" s="241">
        <v>5481.62</v>
      </c>
      <c r="R59" s="230">
        <f t="shared" ref="R59:R61" si="9">347+36</f>
        <v>383</v>
      </c>
      <c r="AC59" s="223"/>
      <c r="AD59" s="223"/>
      <c r="AE59" s="223"/>
      <c r="AF59" s="223"/>
      <c r="AG59" s="223"/>
      <c r="AH59" s="223"/>
      <c r="AI59" s="223"/>
      <c r="AJ59" s="223"/>
      <c r="AK59" s="223"/>
      <c r="AL59" s="223"/>
      <c r="AM59" s="223"/>
      <c r="AN59" s="223"/>
      <c r="AO59" s="223"/>
      <c r="AP59" s="223"/>
      <c r="AQ59" s="223"/>
      <c r="AR59" s="223"/>
      <c r="AS59" s="223"/>
      <c r="AT59" s="223"/>
      <c r="AU59" s="223"/>
      <c r="AV59" s="223"/>
      <c r="AW59" s="223"/>
      <c r="AX59" s="223"/>
      <c r="AY59" s="223"/>
      <c r="AZ59" s="223"/>
      <c r="BA59" s="223"/>
    </row>
    <row r="60" spans="1:53">
      <c r="A60" s="245" t="s">
        <v>537</v>
      </c>
      <c r="B60" s="246" t="s">
        <v>538</v>
      </c>
      <c r="C60" s="246" t="s">
        <v>338</v>
      </c>
      <c r="D60" s="246" t="s">
        <v>269</v>
      </c>
      <c r="E60" s="246" t="s">
        <v>64</v>
      </c>
      <c r="F60" s="246" t="s">
        <v>408</v>
      </c>
      <c r="G60" s="247">
        <v>4954.3900000000003</v>
      </c>
      <c r="H60" s="247">
        <f t="shared" si="0"/>
        <v>59452.680000000008</v>
      </c>
      <c r="I60" s="234" t="s">
        <v>409</v>
      </c>
      <c r="J60" s="235">
        <v>30000</v>
      </c>
      <c r="K60" s="235">
        <v>21548</v>
      </c>
      <c r="L60" s="236">
        <v>30000</v>
      </c>
      <c r="M60" s="237">
        <v>225014.33</v>
      </c>
      <c r="N60" s="238">
        <f t="shared" si="2"/>
        <v>59452.680000000008</v>
      </c>
      <c r="O60" s="239">
        <v>14449.81</v>
      </c>
      <c r="P60" s="240">
        <f t="shared" si="1"/>
        <v>40502.579400000002</v>
      </c>
      <c r="Q60" s="241">
        <v>5481.62</v>
      </c>
      <c r="R60" s="230">
        <f t="shared" si="9"/>
        <v>383</v>
      </c>
      <c r="AC60" s="223"/>
      <c r="AD60" s="223"/>
      <c r="AE60" s="223"/>
      <c r="AF60" s="223"/>
      <c r="AG60" s="223"/>
      <c r="AH60" s="223"/>
      <c r="AI60" s="223"/>
      <c r="AJ60" s="223"/>
      <c r="AK60" s="223"/>
      <c r="AL60" s="223"/>
      <c r="AM60" s="223"/>
      <c r="AN60" s="223"/>
      <c r="AO60" s="223"/>
      <c r="AP60" s="223"/>
      <c r="AQ60" s="223"/>
      <c r="AR60" s="223"/>
      <c r="AS60" s="223"/>
      <c r="AT60" s="223"/>
      <c r="AU60" s="223"/>
      <c r="AV60" s="223"/>
      <c r="AW60" s="223"/>
      <c r="AX60" s="223"/>
      <c r="AY60" s="223"/>
      <c r="AZ60" s="223"/>
      <c r="BA60" s="223"/>
    </row>
    <row r="61" spans="1:53">
      <c r="A61" s="245" t="s">
        <v>539</v>
      </c>
      <c r="B61" s="246" t="s">
        <v>540</v>
      </c>
      <c r="C61" s="246" t="s">
        <v>541</v>
      </c>
      <c r="D61" s="246" t="s">
        <v>269</v>
      </c>
      <c r="E61" s="246" t="s">
        <v>136</v>
      </c>
      <c r="F61" s="246" t="s">
        <v>408</v>
      </c>
      <c r="G61" s="247">
        <v>4954.3900000000003</v>
      </c>
      <c r="H61" s="247">
        <f t="shared" si="0"/>
        <v>59452.680000000008</v>
      </c>
      <c r="I61" s="234" t="s">
        <v>409</v>
      </c>
      <c r="J61" s="235">
        <v>18000</v>
      </c>
      <c r="K61" s="235">
        <v>11211</v>
      </c>
      <c r="L61" s="236">
        <v>15000</v>
      </c>
      <c r="M61" s="237">
        <v>225014.33</v>
      </c>
      <c r="N61" s="238">
        <f t="shared" si="2"/>
        <v>59452.680000000008</v>
      </c>
      <c r="O61" s="239">
        <v>14449.81</v>
      </c>
      <c r="P61" s="240">
        <f t="shared" si="1"/>
        <v>40502.579400000002</v>
      </c>
      <c r="Q61" s="241">
        <v>5481.62</v>
      </c>
      <c r="R61" s="230">
        <f t="shared" si="9"/>
        <v>383</v>
      </c>
      <c r="AC61" s="223"/>
      <c r="AD61" s="223"/>
      <c r="AE61" s="223"/>
      <c r="AF61" s="223"/>
      <c r="AG61" s="223"/>
      <c r="AH61" s="223"/>
      <c r="AI61" s="223"/>
      <c r="AJ61" s="223"/>
      <c r="AK61" s="223"/>
      <c r="AL61" s="223"/>
      <c r="AM61" s="223"/>
      <c r="AN61" s="223"/>
      <c r="AO61" s="223"/>
      <c r="AP61" s="223"/>
      <c r="AQ61" s="223"/>
      <c r="AR61" s="223"/>
      <c r="AS61" s="223"/>
      <c r="AT61" s="223"/>
      <c r="AU61" s="223"/>
      <c r="AV61" s="223"/>
      <c r="AW61" s="223"/>
      <c r="AX61" s="223"/>
      <c r="AY61" s="223"/>
      <c r="AZ61" s="223"/>
      <c r="BA61" s="223"/>
    </row>
    <row r="62" spans="1:53">
      <c r="A62" s="290" t="s">
        <v>542</v>
      </c>
      <c r="B62" s="291" t="s">
        <v>543</v>
      </c>
      <c r="C62" s="291" t="s">
        <v>544</v>
      </c>
      <c r="D62" s="291" t="s">
        <v>545</v>
      </c>
      <c r="E62" s="291" t="s">
        <v>66</v>
      </c>
      <c r="F62" s="291" t="s">
        <v>405</v>
      </c>
      <c r="G62" s="292">
        <v>6892.51</v>
      </c>
      <c r="H62" s="292">
        <f t="shared" si="0"/>
        <v>82710.12</v>
      </c>
      <c r="I62" s="234" t="s">
        <v>446</v>
      </c>
      <c r="J62" s="235">
        <v>15000</v>
      </c>
      <c r="K62" s="235">
        <v>1697</v>
      </c>
      <c r="L62" s="236">
        <v>5000</v>
      </c>
      <c r="M62" s="237">
        <v>231156.68</v>
      </c>
      <c r="N62" s="238">
        <f t="shared" si="2"/>
        <v>82710.12</v>
      </c>
      <c r="O62" s="239">
        <v>36478.78</v>
      </c>
      <c r="P62" s="240">
        <f t="shared" si="1"/>
        <v>41608.202399999995</v>
      </c>
      <c r="Q62" s="241">
        <v>6057.27</v>
      </c>
      <c r="R62" s="230">
        <v>636</v>
      </c>
      <c r="V62" s="223"/>
      <c r="W62" s="223"/>
      <c r="X62" s="223"/>
      <c r="Y62" s="223"/>
      <c r="Z62" s="223"/>
      <c r="AA62" s="223"/>
      <c r="AB62" s="223"/>
      <c r="AC62" s="223"/>
      <c r="AD62" s="223"/>
      <c r="AE62" s="223"/>
      <c r="AF62" s="223"/>
      <c r="AG62" s="223"/>
      <c r="AH62" s="223"/>
      <c r="AI62" s="223"/>
      <c r="AJ62" s="223"/>
      <c r="AK62" s="223"/>
      <c r="AL62" s="223"/>
      <c r="AM62" s="223"/>
      <c r="AN62" s="223"/>
      <c r="AO62" s="223"/>
      <c r="AP62" s="223"/>
      <c r="AQ62" s="223"/>
      <c r="AR62" s="223"/>
      <c r="AS62" s="223"/>
      <c r="AT62" s="223"/>
      <c r="AU62" s="223"/>
      <c r="AV62" s="223"/>
      <c r="AW62" s="223"/>
      <c r="AX62" s="223"/>
      <c r="AY62" s="223"/>
      <c r="AZ62" s="223"/>
      <c r="BA62" s="223"/>
    </row>
    <row r="63" spans="1:53">
      <c r="A63" s="290" t="s">
        <v>546</v>
      </c>
      <c r="B63" s="291" t="s">
        <v>547</v>
      </c>
      <c r="C63" s="291" t="s">
        <v>548</v>
      </c>
      <c r="D63" s="291" t="s">
        <v>545</v>
      </c>
      <c r="E63" s="291" t="s">
        <v>64</v>
      </c>
      <c r="F63" s="291" t="s">
        <v>405</v>
      </c>
      <c r="G63" s="292">
        <v>6892.51</v>
      </c>
      <c r="H63" s="292">
        <f t="shared" si="0"/>
        <v>82710.12</v>
      </c>
      <c r="I63" s="234" t="s">
        <v>446</v>
      </c>
      <c r="J63" s="235">
        <v>8000</v>
      </c>
      <c r="K63" s="235">
        <v>13801</v>
      </c>
      <c r="L63" s="236">
        <v>15000</v>
      </c>
      <c r="M63" s="237">
        <v>231156.68</v>
      </c>
      <c r="N63" s="238">
        <f t="shared" si="2"/>
        <v>82710.12</v>
      </c>
      <c r="O63" s="239">
        <v>36478.78</v>
      </c>
      <c r="P63" s="240">
        <f t="shared" si="1"/>
        <v>41608.202399999995</v>
      </c>
      <c r="Q63" s="241">
        <v>6057.27</v>
      </c>
      <c r="R63" s="230">
        <v>636</v>
      </c>
      <c r="V63" s="223"/>
      <c r="W63" s="223"/>
      <c r="X63" s="223"/>
      <c r="Y63" s="223"/>
      <c r="Z63" s="223"/>
      <c r="AA63" s="223"/>
      <c r="AB63" s="223"/>
      <c r="AC63" s="223"/>
      <c r="AD63" s="223"/>
      <c r="AE63" s="223"/>
      <c r="AF63" s="223"/>
      <c r="AG63" s="223"/>
      <c r="AH63" s="223"/>
      <c r="AI63" s="223"/>
      <c r="AJ63" s="223"/>
      <c r="AK63" s="223"/>
      <c r="AL63" s="223"/>
      <c r="AM63" s="223"/>
      <c r="AN63" s="223"/>
      <c r="AO63" s="223"/>
      <c r="AP63" s="223"/>
      <c r="AQ63" s="223"/>
      <c r="AR63" s="223"/>
      <c r="AS63" s="223"/>
      <c r="AT63" s="223"/>
      <c r="AU63" s="223"/>
      <c r="AV63" s="223"/>
      <c r="AW63" s="223"/>
      <c r="AX63" s="223"/>
      <c r="AY63" s="223"/>
      <c r="AZ63" s="223"/>
      <c r="BA63" s="223"/>
    </row>
    <row r="64" spans="1:53">
      <c r="A64" s="242" t="s">
        <v>549</v>
      </c>
      <c r="B64" s="243" t="s">
        <v>550</v>
      </c>
      <c r="C64" s="243" t="s">
        <v>551</v>
      </c>
      <c r="D64" s="243" t="s">
        <v>267</v>
      </c>
      <c r="E64" s="243" t="s">
        <v>394</v>
      </c>
      <c r="F64" s="243" t="s">
        <v>399</v>
      </c>
      <c r="G64" s="244">
        <v>3596.62</v>
      </c>
      <c r="H64" s="244">
        <f t="shared" si="0"/>
        <v>43159.44</v>
      </c>
      <c r="I64" s="234" t="s">
        <v>396</v>
      </c>
      <c r="J64" s="235">
        <v>12000</v>
      </c>
      <c r="K64" s="235">
        <v>9812</v>
      </c>
      <c r="L64" s="236">
        <v>10000</v>
      </c>
      <c r="M64" s="237">
        <v>159552.98000000001</v>
      </c>
      <c r="N64" s="238">
        <f t="shared" si="2"/>
        <v>43159.44</v>
      </c>
      <c r="O64" s="239">
        <v>11248.84</v>
      </c>
      <c r="P64" s="240">
        <f t="shared" si="1"/>
        <v>28719.536400000001</v>
      </c>
      <c r="Q64" s="241">
        <v>5481.62</v>
      </c>
      <c r="R64" s="230">
        <f t="shared" ref="R64:R68" si="10">293+36</f>
        <v>329</v>
      </c>
      <c r="V64" s="223"/>
      <c r="W64" s="223"/>
      <c r="X64" s="223"/>
      <c r="Y64" s="223"/>
      <c r="Z64" s="223"/>
      <c r="AA64" s="223"/>
      <c r="AB64" s="223"/>
      <c r="AC64" s="223"/>
      <c r="AD64" s="223"/>
      <c r="AE64" s="223"/>
      <c r="AF64" s="223"/>
      <c r="AG64" s="223"/>
      <c r="AH64" s="223"/>
      <c r="AI64" s="223"/>
      <c r="AJ64" s="223"/>
      <c r="AK64" s="223"/>
      <c r="AL64" s="223"/>
      <c r="AM64" s="223"/>
      <c r="AN64" s="223"/>
      <c r="AO64" s="223"/>
      <c r="AP64" s="223"/>
      <c r="AQ64" s="223"/>
      <c r="AR64" s="223"/>
      <c r="AS64" s="223"/>
      <c r="AT64" s="223"/>
      <c r="AU64" s="223"/>
      <c r="AV64" s="223"/>
      <c r="AW64" s="223"/>
      <c r="AX64" s="223"/>
      <c r="AY64" s="223"/>
      <c r="AZ64" s="223"/>
      <c r="BA64" s="223"/>
    </row>
    <row r="65" spans="1:53">
      <c r="A65" s="248" t="s">
        <v>552</v>
      </c>
      <c r="B65" s="249" t="s">
        <v>553</v>
      </c>
      <c r="C65" s="250" t="s">
        <v>554</v>
      </c>
      <c r="D65" s="250" t="s">
        <v>267</v>
      </c>
      <c r="E65" s="250" t="s">
        <v>137</v>
      </c>
      <c r="F65" s="250" t="s">
        <v>412</v>
      </c>
      <c r="G65" s="251">
        <v>3437.09</v>
      </c>
      <c r="H65" s="251">
        <f t="shared" si="0"/>
        <v>41245.08</v>
      </c>
      <c r="I65" s="234" t="s">
        <v>396</v>
      </c>
      <c r="J65" s="235">
        <v>25000</v>
      </c>
      <c r="K65" s="235">
        <v>4818</v>
      </c>
      <c r="L65" s="236">
        <v>8000</v>
      </c>
      <c r="M65" s="237">
        <v>151632.72</v>
      </c>
      <c r="N65" s="238">
        <f t="shared" si="2"/>
        <v>41245.08</v>
      </c>
      <c r="O65" s="239">
        <v>10918.54</v>
      </c>
      <c r="P65" s="240">
        <f t="shared" si="1"/>
        <v>27293.889600000002</v>
      </c>
      <c r="Q65" s="241">
        <v>5481.62</v>
      </c>
      <c r="R65" s="230">
        <f t="shared" si="10"/>
        <v>329</v>
      </c>
      <c r="V65" s="223"/>
      <c r="W65" s="223"/>
      <c r="X65" s="223"/>
      <c r="Y65" s="223"/>
      <c r="Z65" s="223"/>
      <c r="AA65" s="223"/>
      <c r="AB65" s="223"/>
      <c r="AC65" s="223"/>
      <c r="AD65" s="223"/>
      <c r="AE65" s="223"/>
      <c r="AF65" s="223"/>
      <c r="AG65" s="223"/>
      <c r="AH65" s="223"/>
      <c r="AI65" s="223"/>
      <c r="AJ65" s="223"/>
      <c r="AK65" s="223"/>
      <c r="AL65" s="223"/>
      <c r="AM65" s="223"/>
      <c r="AN65" s="223"/>
      <c r="AO65" s="223"/>
      <c r="AP65" s="223"/>
      <c r="AQ65" s="223"/>
      <c r="AR65" s="223"/>
      <c r="AS65" s="223"/>
      <c r="AT65" s="223"/>
      <c r="AU65" s="223"/>
      <c r="AV65" s="223"/>
      <c r="AW65" s="223"/>
      <c r="AX65" s="223"/>
      <c r="AY65" s="223"/>
      <c r="AZ65" s="223"/>
      <c r="BA65" s="223"/>
    </row>
    <row r="66" spans="1:53">
      <c r="A66" s="248" t="s">
        <v>555</v>
      </c>
      <c r="B66" s="249" t="s">
        <v>556</v>
      </c>
      <c r="C66" s="250" t="s">
        <v>557</v>
      </c>
      <c r="D66" s="250" t="s">
        <v>267</v>
      </c>
      <c r="E66" s="250" t="s">
        <v>65</v>
      </c>
      <c r="F66" s="250" t="s">
        <v>412</v>
      </c>
      <c r="G66" s="251">
        <v>3437.09</v>
      </c>
      <c r="H66" s="251">
        <f t="shared" ref="H66:H89" si="11">+G66*12</f>
        <v>41245.08</v>
      </c>
      <c r="I66" s="234" t="s">
        <v>396</v>
      </c>
      <c r="J66" s="235">
        <v>15000</v>
      </c>
      <c r="K66" s="235">
        <v>26593</v>
      </c>
      <c r="L66" s="236">
        <v>30000</v>
      </c>
      <c r="M66" s="237">
        <v>151632.72</v>
      </c>
      <c r="N66" s="238">
        <f t="shared" si="2"/>
        <v>41245.08</v>
      </c>
      <c r="O66" s="239">
        <v>10918.54</v>
      </c>
      <c r="P66" s="240">
        <f t="shared" si="1"/>
        <v>27293.889600000002</v>
      </c>
      <c r="Q66" s="241">
        <v>5481.62</v>
      </c>
      <c r="R66" s="230">
        <f t="shared" si="10"/>
        <v>329</v>
      </c>
      <c r="V66" s="223"/>
      <c r="W66" s="223"/>
      <c r="X66" s="223"/>
      <c r="Y66" s="223"/>
      <c r="Z66" s="223"/>
      <c r="AA66" s="223"/>
      <c r="AB66" s="223"/>
      <c r="AC66" s="223"/>
      <c r="AD66" s="223"/>
      <c r="AE66" s="223"/>
      <c r="AF66" s="223"/>
      <c r="AG66" s="223"/>
      <c r="AH66" s="223"/>
      <c r="AI66" s="223"/>
      <c r="AJ66" s="223"/>
      <c r="AK66" s="223"/>
      <c r="AL66" s="223"/>
      <c r="AM66" s="223"/>
      <c r="AN66" s="223"/>
      <c r="AO66" s="223"/>
      <c r="AP66" s="223"/>
      <c r="AQ66" s="223"/>
      <c r="AR66" s="223"/>
      <c r="AS66" s="223"/>
      <c r="AT66" s="223"/>
      <c r="AU66" s="223"/>
      <c r="AV66" s="223"/>
      <c r="AW66" s="223"/>
      <c r="AX66" s="223"/>
      <c r="AY66" s="223"/>
      <c r="AZ66" s="223"/>
      <c r="BA66" s="223"/>
    </row>
    <row r="67" spans="1:53">
      <c r="A67" s="248" t="s">
        <v>558</v>
      </c>
      <c r="B67" s="249" t="s">
        <v>559</v>
      </c>
      <c r="C67" s="250" t="s">
        <v>560</v>
      </c>
      <c r="D67" s="250" t="s">
        <v>267</v>
      </c>
      <c r="E67" s="250" t="s">
        <v>136</v>
      </c>
      <c r="F67" s="250" t="s">
        <v>412</v>
      </c>
      <c r="G67" s="251">
        <v>3437.09</v>
      </c>
      <c r="H67" s="251">
        <f t="shared" si="11"/>
        <v>41245.08</v>
      </c>
      <c r="I67" s="234" t="s">
        <v>396</v>
      </c>
      <c r="J67" s="235">
        <v>15000</v>
      </c>
      <c r="K67" s="235">
        <v>17717</v>
      </c>
      <c r="L67" s="236">
        <v>20000</v>
      </c>
      <c r="M67" s="237">
        <v>151632.72</v>
      </c>
      <c r="N67" s="238">
        <f t="shared" ref="N67:N89" si="12">+G67*12</f>
        <v>41245.08</v>
      </c>
      <c r="O67" s="239">
        <v>10918.54</v>
      </c>
      <c r="P67" s="240">
        <f t="shared" ref="P67:P100" si="13">+M67*0.9/5</f>
        <v>27293.889600000002</v>
      </c>
      <c r="Q67" s="241">
        <v>5481.62</v>
      </c>
      <c r="R67" s="230">
        <f t="shared" si="10"/>
        <v>329</v>
      </c>
      <c r="V67" s="223"/>
      <c r="W67" s="223"/>
      <c r="X67" s="223"/>
      <c r="Y67" s="223"/>
      <c r="Z67" s="223"/>
      <c r="AA67" s="223"/>
      <c r="AB67" s="223"/>
      <c r="AC67" s="223"/>
      <c r="AD67" s="223"/>
      <c r="AE67" s="223"/>
      <c r="AF67" s="223"/>
      <c r="AG67" s="223"/>
      <c r="AH67" s="223"/>
      <c r="AI67" s="223"/>
      <c r="AJ67" s="223"/>
      <c r="AK67" s="223"/>
      <c r="AL67" s="223"/>
      <c r="AM67" s="223"/>
      <c r="AN67" s="223"/>
      <c r="AO67" s="223"/>
      <c r="AP67" s="223"/>
      <c r="AQ67" s="223"/>
      <c r="AR67" s="223"/>
      <c r="AS67" s="223"/>
      <c r="AT67" s="223"/>
      <c r="AU67" s="223"/>
      <c r="AV67" s="223"/>
      <c r="AW67" s="223"/>
      <c r="AX67" s="223"/>
      <c r="AY67" s="223"/>
      <c r="AZ67" s="223"/>
      <c r="BA67" s="223"/>
    </row>
    <row r="68" spans="1:53">
      <c r="A68" s="248" t="s">
        <v>561</v>
      </c>
      <c r="B68" s="249" t="s">
        <v>562</v>
      </c>
      <c r="C68" s="250" t="s">
        <v>563</v>
      </c>
      <c r="D68" s="250" t="s">
        <v>267</v>
      </c>
      <c r="E68" s="250" t="s">
        <v>64</v>
      </c>
      <c r="F68" s="250" t="s">
        <v>412</v>
      </c>
      <c r="G68" s="251">
        <v>3437.09</v>
      </c>
      <c r="H68" s="251">
        <f t="shared" si="11"/>
        <v>41245.08</v>
      </c>
      <c r="I68" s="234" t="s">
        <v>396</v>
      </c>
      <c r="J68" s="235">
        <v>36000</v>
      </c>
      <c r="K68" s="235">
        <v>13897</v>
      </c>
      <c r="L68" s="236">
        <v>15000</v>
      </c>
      <c r="M68" s="237">
        <v>151632.72</v>
      </c>
      <c r="N68" s="238">
        <f t="shared" si="12"/>
        <v>41245.08</v>
      </c>
      <c r="O68" s="239">
        <v>10918.54</v>
      </c>
      <c r="P68" s="240">
        <f t="shared" si="13"/>
        <v>27293.889600000002</v>
      </c>
      <c r="Q68" s="241">
        <v>5481.62</v>
      </c>
      <c r="R68" s="230">
        <f t="shared" si="10"/>
        <v>329</v>
      </c>
      <c r="V68" s="223"/>
      <c r="W68" s="223"/>
      <c r="X68" s="223"/>
      <c r="Y68" s="223"/>
      <c r="Z68" s="223"/>
      <c r="AA68" s="223"/>
      <c r="AB68" s="223"/>
      <c r="AC68" s="223"/>
      <c r="AD68" s="223"/>
      <c r="AE68" s="223"/>
      <c r="AF68" s="223"/>
      <c r="AG68" s="223"/>
      <c r="AH68" s="223"/>
      <c r="AI68" s="223"/>
      <c r="AJ68" s="223"/>
      <c r="AK68" s="223"/>
      <c r="AL68" s="223"/>
      <c r="AM68" s="223"/>
      <c r="AN68" s="223"/>
      <c r="AO68" s="223"/>
      <c r="AP68" s="223"/>
      <c r="AQ68" s="223"/>
      <c r="AR68" s="223"/>
      <c r="AS68" s="223"/>
      <c r="AT68" s="223"/>
      <c r="AU68" s="223"/>
      <c r="AV68" s="223"/>
      <c r="AW68" s="223"/>
      <c r="AX68" s="223"/>
      <c r="AY68" s="223"/>
      <c r="AZ68" s="223"/>
      <c r="BA68" s="223"/>
    </row>
    <row r="69" spans="1:53">
      <c r="A69" s="293" t="s">
        <v>564</v>
      </c>
      <c r="B69" s="294" t="s">
        <v>565</v>
      </c>
      <c r="C69" s="294" t="s">
        <v>566</v>
      </c>
      <c r="D69" s="294" t="s">
        <v>567</v>
      </c>
      <c r="E69" s="294" t="s">
        <v>64</v>
      </c>
      <c r="F69" s="294" t="s">
        <v>413</v>
      </c>
      <c r="G69" s="295">
        <v>12140.7</v>
      </c>
      <c r="H69" s="295">
        <f t="shared" si="11"/>
        <v>145688.40000000002</v>
      </c>
      <c r="I69" s="234" t="s">
        <v>446</v>
      </c>
      <c r="J69" s="235">
        <v>15000</v>
      </c>
      <c r="K69" s="235">
        <v>14844</v>
      </c>
      <c r="L69" s="236">
        <v>20000</v>
      </c>
      <c r="M69" s="237">
        <v>446281.03</v>
      </c>
      <c r="N69" s="238">
        <f t="shared" si="12"/>
        <v>145688.40000000002</v>
      </c>
      <c r="O69" s="239">
        <v>56432.19</v>
      </c>
      <c r="P69" s="240">
        <f t="shared" si="13"/>
        <v>80330.585400000011</v>
      </c>
      <c r="Q69" s="241">
        <v>6057.27</v>
      </c>
      <c r="R69" s="230">
        <f>3166+36</f>
        <v>3202</v>
      </c>
      <c r="V69" s="223"/>
      <c r="W69" s="223"/>
      <c r="X69" s="223"/>
      <c r="Y69" s="223"/>
      <c r="Z69" s="223"/>
      <c r="AA69" s="223"/>
      <c r="AB69" s="223"/>
      <c r="AC69" s="223"/>
      <c r="AD69" s="223"/>
      <c r="AE69" s="223"/>
      <c r="AF69" s="223"/>
      <c r="AG69" s="223"/>
      <c r="AH69" s="223"/>
      <c r="AI69" s="223"/>
      <c r="AJ69" s="223"/>
      <c r="AK69" s="223"/>
      <c r="AL69" s="223"/>
      <c r="AM69" s="223"/>
      <c r="AN69" s="223"/>
      <c r="AO69" s="223"/>
      <c r="AP69" s="223"/>
      <c r="AQ69" s="223"/>
      <c r="AR69" s="223"/>
      <c r="AS69" s="223"/>
      <c r="AT69" s="223"/>
      <c r="AU69" s="223"/>
      <c r="AV69" s="223"/>
      <c r="AW69" s="223"/>
      <c r="AX69" s="223"/>
      <c r="AY69" s="223"/>
      <c r="AZ69" s="223"/>
      <c r="BA69" s="223"/>
    </row>
    <row r="70" spans="1:53">
      <c r="A70" s="293" t="s">
        <v>568</v>
      </c>
      <c r="B70" s="294" t="s">
        <v>569</v>
      </c>
      <c r="C70" s="294" t="s">
        <v>570</v>
      </c>
      <c r="D70" s="294" t="s">
        <v>567</v>
      </c>
      <c r="E70" s="294" t="s">
        <v>66</v>
      </c>
      <c r="F70" s="294" t="s">
        <v>413</v>
      </c>
      <c r="G70" s="295">
        <v>12140.7</v>
      </c>
      <c r="H70" s="295">
        <f t="shared" si="11"/>
        <v>145688.40000000002</v>
      </c>
      <c r="I70" s="234" t="s">
        <v>446</v>
      </c>
      <c r="J70" s="235">
        <v>36000</v>
      </c>
      <c r="K70" s="235">
        <v>470</v>
      </c>
      <c r="L70" s="236">
        <v>5000</v>
      </c>
      <c r="M70" s="237">
        <v>446281.03</v>
      </c>
      <c r="N70" s="238">
        <f t="shared" si="12"/>
        <v>145688.40000000002</v>
      </c>
      <c r="O70" s="239">
        <v>56432.19</v>
      </c>
      <c r="P70" s="240">
        <f t="shared" si="13"/>
        <v>80330.585400000011</v>
      </c>
      <c r="Q70" s="241">
        <v>6057.27</v>
      </c>
      <c r="R70" s="230">
        <f t="shared" ref="R70:R71" si="14">3166+36</f>
        <v>3202</v>
      </c>
      <c r="V70" s="223"/>
      <c r="W70" s="223"/>
      <c r="X70" s="223"/>
      <c r="Y70" s="223"/>
      <c r="Z70" s="223"/>
      <c r="AA70" s="223"/>
      <c r="AB70" s="223"/>
      <c r="AC70" s="223"/>
      <c r="AD70" s="223"/>
      <c r="AE70" s="223"/>
      <c r="AF70" s="223"/>
      <c r="AG70" s="223"/>
      <c r="AH70" s="223"/>
      <c r="AI70" s="223"/>
      <c r="AJ70" s="223"/>
      <c r="AK70" s="223"/>
      <c r="AL70" s="223"/>
      <c r="AM70" s="223"/>
      <c r="AN70" s="223"/>
      <c r="AO70" s="223"/>
      <c r="AP70" s="223"/>
      <c r="AQ70" s="223"/>
      <c r="AR70" s="223"/>
      <c r="AS70" s="223"/>
      <c r="AT70" s="223"/>
      <c r="AU70" s="223"/>
      <c r="AV70" s="223"/>
      <c r="AW70" s="223"/>
      <c r="AX70" s="223"/>
      <c r="AY70" s="223"/>
      <c r="AZ70" s="223"/>
      <c r="BA70" s="223"/>
    </row>
    <row r="71" spans="1:53">
      <c r="A71" s="293" t="s">
        <v>571</v>
      </c>
      <c r="B71" s="294" t="s">
        <v>572</v>
      </c>
      <c r="C71" s="294" t="s">
        <v>573</v>
      </c>
      <c r="D71" s="294" t="s">
        <v>567</v>
      </c>
      <c r="E71" s="294" t="s">
        <v>66</v>
      </c>
      <c r="F71" s="294" t="s">
        <v>413</v>
      </c>
      <c r="G71" s="295">
        <v>12140.7</v>
      </c>
      <c r="H71" s="295">
        <f t="shared" si="11"/>
        <v>145688.40000000002</v>
      </c>
      <c r="I71" s="234" t="s">
        <v>446</v>
      </c>
      <c r="J71" s="235">
        <v>36000</v>
      </c>
      <c r="K71" s="235">
        <v>12594</v>
      </c>
      <c r="L71" s="236">
        <v>15000</v>
      </c>
      <c r="M71" s="237">
        <v>446281.03</v>
      </c>
      <c r="N71" s="238">
        <f t="shared" si="12"/>
        <v>145688.40000000002</v>
      </c>
      <c r="O71" s="239">
        <v>56432.19</v>
      </c>
      <c r="P71" s="240">
        <f t="shared" si="13"/>
        <v>80330.585400000011</v>
      </c>
      <c r="Q71" s="241">
        <v>6057.27</v>
      </c>
      <c r="R71" s="230">
        <f t="shared" si="14"/>
        <v>3202</v>
      </c>
      <c r="V71" s="223"/>
      <c r="W71" s="223"/>
      <c r="X71" s="223"/>
      <c r="Y71" s="223"/>
      <c r="Z71" s="223"/>
      <c r="AA71" s="223"/>
      <c r="AB71" s="223"/>
      <c r="AC71" s="223"/>
      <c r="AD71" s="223"/>
      <c r="AE71" s="223"/>
      <c r="AF71" s="223"/>
      <c r="AG71" s="223"/>
      <c r="AH71" s="223"/>
      <c r="AI71" s="223"/>
      <c r="AJ71" s="223"/>
      <c r="AK71" s="223"/>
      <c r="AL71" s="223"/>
      <c r="AM71" s="223"/>
      <c r="AN71" s="223"/>
      <c r="AO71" s="223"/>
      <c r="AP71" s="223"/>
      <c r="AQ71" s="223"/>
      <c r="AR71" s="223"/>
      <c r="AS71" s="223"/>
      <c r="AT71" s="223"/>
      <c r="AU71" s="223"/>
      <c r="AV71" s="223"/>
      <c r="AW71" s="223"/>
      <c r="AX71" s="223"/>
      <c r="AY71" s="223"/>
      <c r="AZ71" s="223"/>
      <c r="BA71" s="223"/>
    </row>
    <row r="72" spans="1:53">
      <c r="A72" s="248" t="s">
        <v>574</v>
      </c>
      <c r="B72" s="249" t="s">
        <v>575</v>
      </c>
      <c r="C72" s="250" t="s">
        <v>576</v>
      </c>
      <c r="D72" s="250" t="s">
        <v>267</v>
      </c>
      <c r="E72" s="250" t="s">
        <v>136</v>
      </c>
      <c r="F72" s="250" t="s">
        <v>412</v>
      </c>
      <c r="G72" s="251">
        <v>3437.09</v>
      </c>
      <c r="H72" s="251">
        <f t="shared" si="11"/>
        <v>41245.08</v>
      </c>
      <c r="I72" s="234" t="s">
        <v>396</v>
      </c>
      <c r="J72" s="235">
        <v>20000</v>
      </c>
      <c r="K72" s="235">
        <v>16072</v>
      </c>
      <c r="L72" s="236">
        <v>20000</v>
      </c>
      <c r="M72" s="237">
        <v>151632.72</v>
      </c>
      <c r="N72" s="238">
        <f t="shared" si="12"/>
        <v>41245.08</v>
      </c>
      <c r="O72" s="239">
        <v>10918.54</v>
      </c>
      <c r="P72" s="240">
        <f t="shared" si="13"/>
        <v>27293.889600000002</v>
      </c>
      <c r="Q72" s="241">
        <v>5481.62</v>
      </c>
      <c r="R72" s="230">
        <f t="shared" ref="R72:R76" si="15">293+36</f>
        <v>329</v>
      </c>
      <c r="V72" s="223"/>
      <c r="W72" s="223"/>
      <c r="X72" s="223"/>
      <c r="Y72" s="223"/>
      <c r="Z72" s="223"/>
      <c r="AA72" s="223"/>
      <c r="AB72" s="223"/>
      <c r="AC72" s="223"/>
      <c r="AD72" s="223"/>
      <c r="AE72" s="223"/>
      <c r="AF72" s="223"/>
      <c r="AG72" s="223"/>
      <c r="AH72" s="223"/>
      <c r="AI72" s="223"/>
      <c r="AJ72" s="223"/>
      <c r="AK72" s="223"/>
      <c r="AL72" s="223"/>
      <c r="AM72" s="223"/>
      <c r="AN72" s="223"/>
      <c r="AO72" s="223"/>
      <c r="AP72" s="223"/>
      <c r="AQ72" s="223"/>
      <c r="AR72" s="223"/>
      <c r="AS72" s="223"/>
      <c r="AT72" s="223"/>
      <c r="AU72" s="223"/>
      <c r="AV72" s="223"/>
      <c r="AW72" s="223"/>
      <c r="AX72" s="223"/>
      <c r="AY72" s="223"/>
      <c r="AZ72" s="223"/>
      <c r="BA72" s="223"/>
    </row>
    <row r="73" spans="1:53">
      <c r="A73" s="248" t="s">
        <v>498</v>
      </c>
      <c r="B73" s="249" t="s">
        <v>577</v>
      </c>
      <c r="C73" s="250" t="s">
        <v>578</v>
      </c>
      <c r="D73" s="250" t="s">
        <v>267</v>
      </c>
      <c r="E73" s="250" t="s">
        <v>136</v>
      </c>
      <c r="F73" s="250" t="s">
        <v>412</v>
      </c>
      <c r="G73" s="251">
        <v>3437.09</v>
      </c>
      <c r="H73" s="251">
        <f t="shared" si="11"/>
        <v>41245.08</v>
      </c>
      <c r="I73" s="234" t="s">
        <v>396</v>
      </c>
      <c r="J73" s="235">
        <v>20000</v>
      </c>
      <c r="K73" s="235">
        <v>3640</v>
      </c>
      <c r="L73" s="236">
        <v>8000</v>
      </c>
      <c r="M73" s="237">
        <v>151632.72</v>
      </c>
      <c r="N73" s="238">
        <f t="shared" si="12"/>
        <v>41245.08</v>
      </c>
      <c r="O73" s="239">
        <v>10918.54</v>
      </c>
      <c r="P73" s="240">
        <f t="shared" si="13"/>
        <v>27293.889600000002</v>
      </c>
      <c r="Q73" s="241">
        <v>5481.62</v>
      </c>
      <c r="R73" s="230">
        <f t="shared" si="15"/>
        <v>329</v>
      </c>
      <c r="V73" s="223"/>
      <c r="W73" s="223"/>
      <c r="X73" s="223"/>
      <c r="Y73" s="223"/>
      <c r="Z73" s="223"/>
      <c r="AA73" s="223"/>
      <c r="AB73" s="223"/>
      <c r="AC73" s="223"/>
      <c r="AD73" s="223"/>
      <c r="AE73" s="223"/>
      <c r="AF73" s="223"/>
      <c r="AG73" s="223"/>
      <c r="AH73" s="223"/>
      <c r="AI73" s="223"/>
      <c r="AJ73" s="223"/>
      <c r="AK73" s="223"/>
      <c r="AL73" s="223"/>
      <c r="AM73" s="223"/>
      <c r="AN73" s="223"/>
      <c r="AO73" s="223"/>
      <c r="AP73" s="223"/>
      <c r="AQ73" s="223"/>
      <c r="AR73" s="223"/>
      <c r="AS73" s="223"/>
      <c r="AT73" s="223"/>
      <c r="AU73" s="223"/>
      <c r="AV73" s="223"/>
      <c r="AW73" s="223"/>
      <c r="AX73" s="223"/>
      <c r="AY73" s="223"/>
      <c r="AZ73" s="223"/>
      <c r="BA73" s="223"/>
    </row>
    <row r="74" spans="1:53">
      <c r="A74" s="248" t="s">
        <v>500</v>
      </c>
      <c r="B74" s="249" t="s">
        <v>579</v>
      </c>
      <c r="C74" s="250" t="s">
        <v>580</v>
      </c>
      <c r="D74" s="250" t="s">
        <v>267</v>
      </c>
      <c r="E74" s="250" t="s">
        <v>431</v>
      </c>
      <c r="F74" s="250" t="s">
        <v>412</v>
      </c>
      <c r="G74" s="251">
        <v>3437.09</v>
      </c>
      <c r="H74" s="251">
        <f t="shared" si="11"/>
        <v>41245.08</v>
      </c>
      <c r="I74" s="234" t="s">
        <v>396</v>
      </c>
      <c r="J74" s="235">
        <v>20000</v>
      </c>
      <c r="K74" s="235">
        <v>17750</v>
      </c>
      <c r="L74" s="236">
        <v>20000</v>
      </c>
      <c r="M74" s="237">
        <v>151632.72</v>
      </c>
      <c r="N74" s="238">
        <f t="shared" si="12"/>
        <v>41245.08</v>
      </c>
      <c r="O74" s="239">
        <v>10918.54</v>
      </c>
      <c r="P74" s="240">
        <f t="shared" si="13"/>
        <v>27293.889600000002</v>
      </c>
      <c r="Q74" s="241">
        <v>5481.62</v>
      </c>
      <c r="R74" s="230">
        <f t="shared" si="15"/>
        <v>329</v>
      </c>
      <c r="V74" s="223"/>
      <c r="W74" s="223"/>
      <c r="X74" s="223"/>
      <c r="Y74" s="223"/>
      <c r="Z74" s="223"/>
      <c r="AA74" s="223"/>
      <c r="AB74" s="223"/>
      <c r="AC74" s="223"/>
      <c r="AD74" s="223"/>
      <c r="AE74" s="223"/>
      <c r="AF74" s="223"/>
      <c r="AG74" s="223"/>
      <c r="AH74" s="223"/>
      <c r="AI74" s="223"/>
      <c r="AJ74" s="223"/>
      <c r="AK74" s="223"/>
      <c r="AL74" s="223"/>
      <c r="AM74" s="223"/>
      <c r="AN74" s="223"/>
      <c r="AO74" s="223"/>
      <c r="AP74" s="223"/>
      <c r="AQ74" s="223"/>
      <c r="AR74" s="223"/>
      <c r="AS74" s="223"/>
      <c r="AT74" s="223"/>
      <c r="AU74" s="223"/>
      <c r="AV74" s="223"/>
      <c r="AW74" s="223"/>
      <c r="AX74" s="223"/>
      <c r="AY74" s="223"/>
      <c r="AZ74" s="223"/>
      <c r="BA74" s="223"/>
    </row>
    <row r="75" spans="1:53">
      <c r="A75" s="248" t="s">
        <v>502</v>
      </c>
      <c r="B75" s="249" t="s">
        <v>581</v>
      </c>
      <c r="C75" s="250" t="s">
        <v>582</v>
      </c>
      <c r="D75" s="250" t="s">
        <v>267</v>
      </c>
      <c r="E75" s="250" t="s">
        <v>394</v>
      </c>
      <c r="F75" s="250" t="s">
        <v>412</v>
      </c>
      <c r="G75" s="251">
        <v>3437.09</v>
      </c>
      <c r="H75" s="251">
        <f t="shared" si="11"/>
        <v>41245.08</v>
      </c>
      <c r="I75" s="234" t="s">
        <v>396</v>
      </c>
      <c r="J75" s="235">
        <v>30000</v>
      </c>
      <c r="K75" s="235">
        <v>20481</v>
      </c>
      <c r="L75" s="236">
        <v>30000</v>
      </c>
      <c r="M75" s="237">
        <v>151632.72</v>
      </c>
      <c r="N75" s="238">
        <f t="shared" si="12"/>
        <v>41245.08</v>
      </c>
      <c r="O75" s="239">
        <v>10918.54</v>
      </c>
      <c r="P75" s="240">
        <f t="shared" si="13"/>
        <v>27293.889600000002</v>
      </c>
      <c r="Q75" s="241">
        <v>5481.62</v>
      </c>
      <c r="R75" s="230">
        <f t="shared" si="15"/>
        <v>329</v>
      </c>
      <c r="V75" s="223"/>
      <c r="W75" s="223"/>
      <c r="X75" s="223"/>
      <c r="Y75" s="223"/>
      <c r="Z75" s="223"/>
      <c r="AA75" s="223"/>
      <c r="AB75" s="223"/>
      <c r="AC75" s="223"/>
      <c r="AD75" s="223"/>
      <c r="AE75" s="223"/>
      <c r="AF75" s="223"/>
      <c r="AG75" s="223"/>
      <c r="AH75" s="223"/>
      <c r="AI75" s="223"/>
      <c r="AJ75" s="223"/>
      <c r="AK75" s="223"/>
      <c r="AL75" s="223"/>
      <c r="AM75" s="223"/>
      <c r="AN75" s="223"/>
      <c r="AO75" s="223"/>
      <c r="AP75" s="223"/>
      <c r="AQ75" s="223"/>
      <c r="AR75" s="223"/>
      <c r="AS75" s="223"/>
      <c r="AT75" s="223"/>
      <c r="AU75" s="223"/>
      <c r="AV75" s="223"/>
      <c r="AW75" s="223"/>
      <c r="AX75" s="223"/>
      <c r="AY75" s="223"/>
      <c r="AZ75" s="223"/>
      <c r="BA75" s="223"/>
    </row>
    <row r="76" spans="1:53">
      <c r="A76" s="248" t="s">
        <v>504</v>
      </c>
      <c r="B76" s="249" t="s">
        <v>583</v>
      </c>
      <c r="C76" s="250" t="s">
        <v>584</v>
      </c>
      <c r="D76" s="250" t="s">
        <v>267</v>
      </c>
      <c r="E76" s="250" t="s">
        <v>138</v>
      </c>
      <c r="F76" s="250" t="s">
        <v>412</v>
      </c>
      <c r="G76" s="251">
        <v>3437.09</v>
      </c>
      <c r="H76" s="251">
        <f t="shared" si="11"/>
        <v>41245.08</v>
      </c>
      <c r="I76" s="234" t="s">
        <v>396</v>
      </c>
      <c r="J76" s="235">
        <v>20000</v>
      </c>
      <c r="K76" s="235">
        <v>18853</v>
      </c>
      <c r="L76" s="236">
        <v>20000</v>
      </c>
      <c r="M76" s="237">
        <v>151632.72</v>
      </c>
      <c r="N76" s="238">
        <f t="shared" si="12"/>
        <v>41245.08</v>
      </c>
      <c r="O76" s="239">
        <v>10918.54</v>
      </c>
      <c r="P76" s="240">
        <f t="shared" si="13"/>
        <v>27293.889600000002</v>
      </c>
      <c r="Q76" s="241">
        <v>5481.62</v>
      </c>
      <c r="R76" s="230">
        <f t="shared" si="15"/>
        <v>329</v>
      </c>
      <c r="V76" s="223"/>
      <c r="W76" s="223"/>
      <c r="X76" s="223"/>
      <c r="Y76" s="223"/>
      <c r="Z76" s="223"/>
      <c r="AA76" s="223"/>
      <c r="AB76" s="223"/>
      <c r="AC76" s="223"/>
      <c r="AD76" s="223"/>
      <c r="AE76" s="223"/>
      <c r="AF76" s="223"/>
      <c r="AG76" s="223"/>
      <c r="AH76" s="223"/>
      <c r="AI76" s="223"/>
      <c r="AJ76" s="223"/>
      <c r="AK76" s="223"/>
      <c r="AL76" s="223"/>
      <c r="AM76" s="223"/>
      <c r="AN76" s="223"/>
      <c r="AO76" s="223"/>
      <c r="AP76" s="223"/>
      <c r="AQ76" s="223"/>
      <c r="AR76" s="223"/>
      <c r="AS76" s="223"/>
      <c r="AT76" s="223"/>
      <c r="AU76" s="223"/>
      <c r="AV76" s="223"/>
      <c r="AW76" s="223"/>
      <c r="AX76" s="223"/>
      <c r="AY76" s="223"/>
      <c r="AZ76" s="223"/>
      <c r="BA76" s="223"/>
    </row>
    <row r="77" spans="1:53">
      <c r="A77" s="252" t="s">
        <v>585</v>
      </c>
      <c r="B77" s="253" t="s">
        <v>305</v>
      </c>
      <c r="C77" s="253" t="s">
        <v>586</v>
      </c>
      <c r="D77" s="253" t="s">
        <v>269</v>
      </c>
      <c r="E77" s="253" t="s">
        <v>431</v>
      </c>
      <c r="F77" s="253" t="s">
        <v>432</v>
      </c>
      <c r="G77" s="254">
        <v>5418.79</v>
      </c>
      <c r="H77" s="254">
        <f t="shared" si="11"/>
        <v>65025.479999999996</v>
      </c>
      <c r="I77" s="234" t="s">
        <v>409</v>
      </c>
      <c r="J77" s="235">
        <v>20000</v>
      </c>
      <c r="K77" s="235">
        <v>16071</v>
      </c>
      <c r="L77" s="236">
        <v>20000</v>
      </c>
      <c r="M77" s="237">
        <v>248070.79</v>
      </c>
      <c r="N77" s="238">
        <f t="shared" si="12"/>
        <v>65025.479999999996</v>
      </c>
      <c r="O77" s="239">
        <v>15411.32</v>
      </c>
      <c r="P77" s="240">
        <f t="shared" si="13"/>
        <v>44652.742200000001</v>
      </c>
      <c r="Q77" s="241">
        <v>5481.62</v>
      </c>
      <c r="R77" s="230">
        <f t="shared" ref="R77:R80" si="16">347+36</f>
        <v>383</v>
      </c>
      <c r="V77" s="223"/>
      <c r="W77" s="223"/>
      <c r="X77" s="223"/>
      <c r="Y77" s="223"/>
      <c r="Z77" s="223"/>
      <c r="AA77" s="223"/>
      <c r="AB77" s="223"/>
      <c r="AC77" s="223"/>
      <c r="AD77" s="223"/>
      <c r="AE77" s="223"/>
      <c r="AF77" s="223"/>
      <c r="AG77" s="223"/>
      <c r="AH77" s="223"/>
      <c r="AI77" s="223"/>
      <c r="AJ77" s="223"/>
      <c r="AK77" s="223"/>
      <c r="AL77" s="223"/>
      <c r="AM77" s="223"/>
      <c r="AN77" s="223"/>
      <c r="AO77" s="223"/>
      <c r="AP77" s="223"/>
      <c r="AQ77" s="223"/>
      <c r="AR77" s="223"/>
      <c r="AS77" s="223"/>
      <c r="AT77" s="223"/>
      <c r="AU77" s="223"/>
      <c r="AV77" s="223"/>
      <c r="AW77" s="223"/>
      <c r="AX77" s="223"/>
      <c r="AY77" s="223"/>
      <c r="AZ77" s="223"/>
      <c r="BA77" s="223"/>
    </row>
    <row r="78" spans="1:53">
      <c r="A78" s="252" t="s">
        <v>587</v>
      </c>
      <c r="B78" s="253" t="s">
        <v>306</v>
      </c>
      <c r="C78" s="253" t="s">
        <v>588</v>
      </c>
      <c r="D78" s="253" t="s">
        <v>269</v>
      </c>
      <c r="E78" s="253" t="s">
        <v>431</v>
      </c>
      <c r="F78" s="253" t="s">
        <v>432</v>
      </c>
      <c r="G78" s="254">
        <v>5418.79</v>
      </c>
      <c r="H78" s="254">
        <f t="shared" si="11"/>
        <v>65025.479999999996</v>
      </c>
      <c r="I78" s="234" t="s">
        <v>409</v>
      </c>
      <c r="J78" s="235">
        <v>20000</v>
      </c>
      <c r="K78" s="235">
        <v>10515</v>
      </c>
      <c r="L78" s="236">
        <v>15000</v>
      </c>
      <c r="M78" s="237">
        <v>248070.79</v>
      </c>
      <c r="N78" s="238">
        <f t="shared" si="12"/>
        <v>65025.479999999996</v>
      </c>
      <c r="O78" s="239">
        <v>15411.32</v>
      </c>
      <c r="P78" s="240">
        <f t="shared" si="13"/>
        <v>44652.742200000001</v>
      </c>
      <c r="Q78" s="241">
        <v>5481.62</v>
      </c>
      <c r="R78" s="230">
        <f t="shared" si="16"/>
        <v>383</v>
      </c>
      <c r="V78" s="223"/>
      <c r="W78" s="223"/>
      <c r="X78" s="223"/>
      <c r="Y78" s="223"/>
      <c r="Z78" s="223"/>
      <c r="AA78" s="223"/>
      <c r="AB78" s="223"/>
      <c r="AC78" s="223"/>
      <c r="AD78" s="223"/>
      <c r="AE78" s="223"/>
      <c r="AF78" s="223"/>
      <c r="AG78" s="223"/>
      <c r="AH78" s="223"/>
      <c r="AI78" s="223"/>
      <c r="AJ78" s="223"/>
      <c r="AK78" s="223"/>
      <c r="AL78" s="223"/>
      <c r="AM78" s="223"/>
      <c r="AN78" s="223"/>
      <c r="AO78" s="223"/>
      <c r="AP78" s="223"/>
      <c r="AQ78" s="223"/>
      <c r="AR78" s="223"/>
      <c r="AS78" s="223"/>
      <c r="AT78" s="223"/>
      <c r="AU78" s="223"/>
      <c r="AV78" s="223"/>
      <c r="AW78" s="223"/>
      <c r="AX78" s="223"/>
      <c r="AY78" s="223"/>
      <c r="AZ78" s="223"/>
      <c r="BA78" s="223"/>
    </row>
    <row r="79" spans="1:53">
      <c r="A79" s="252" t="s">
        <v>589</v>
      </c>
      <c r="B79" s="253" t="s">
        <v>307</v>
      </c>
      <c r="C79" s="253" t="s">
        <v>590</v>
      </c>
      <c r="D79" s="253" t="s">
        <v>269</v>
      </c>
      <c r="E79" s="253" t="s">
        <v>431</v>
      </c>
      <c r="F79" s="253" t="s">
        <v>432</v>
      </c>
      <c r="G79" s="254">
        <v>5418.79</v>
      </c>
      <c r="H79" s="254">
        <f t="shared" si="11"/>
        <v>65025.479999999996</v>
      </c>
      <c r="I79" s="234" t="s">
        <v>409</v>
      </c>
      <c r="J79" s="235">
        <v>20000</v>
      </c>
      <c r="K79" s="235">
        <v>9821</v>
      </c>
      <c r="L79" s="236">
        <v>10000</v>
      </c>
      <c r="M79" s="237">
        <v>248070.79</v>
      </c>
      <c r="N79" s="238">
        <f t="shared" si="12"/>
        <v>65025.479999999996</v>
      </c>
      <c r="O79" s="239">
        <v>15411.32</v>
      </c>
      <c r="P79" s="240">
        <f t="shared" si="13"/>
        <v>44652.742200000001</v>
      </c>
      <c r="Q79" s="241">
        <v>5481.62</v>
      </c>
      <c r="R79" s="230">
        <f t="shared" si="16"/>
        <v>383</v>
      </c>
      <c r="V79" s="223"/>
      <c r="W79" s="223"/>
      <c r="X79" s="223"/>
      <c r="Y79" s="223"/>
      <c r="Z79" s="223"/>
      <c r="AA79" s="223"/>
      <c r="AB79" s="223"/>
      <c r="AC79" s="223"/>
      <c r="AD79" s="223"/>
      <c r="AE79" s="223"/>
      <c r="AF79" s="223"/>
      <c r="AG79" s="223"/>
      <c r="AH79" s="223"/>
      <c r="AI79" s="223"/>
      <c r="AJ79" s="223"/>
      <c r="AK79" s="223"/>
      <c r="AL79" s="223"/>
      <c r="AM79" s="223"/>
      <c r="AN79" s="223"/>
      <c r="AO79" s="223"/>
      <c r="AP79" s="223"/>
      <c r="AQ79" s="223"/>
      <c r="AR79" s="223"/>
      <c r="AS79" s="223"/>
      <c r="AT79" s="223"/>
      <c r="AU79" s="223"/>
      <c r="AV79" s="223"/>
      <c r="AW79" s="223"/>
      <c r="AX79" s="223"/>
      <c r="AY79" s="223"/>
      <c r="AZ79" s="223"/>
      <c r="BA79" s="223"/>
    </row>
    <row r="80" spans="1:53">
      <c r="A80" s="252" t="s">
        <v>591</v>
      </c>
      <c r="B80" s="253" t="s">
        <v>308</v>
      </c>
      <c r="C80" s="253" t="s">
        <v>592</v>
      </c>
      <c r="D80" s="253" t="s">
        <v>269</v>
      </c>
      <c r="E80" s="253" t="s">
        <v>431</v>
      </c>
      <c r="F80" s="253" t="s">
        <v>432</v>
      </c>
      <c r="G80" s="254">
        <v>5418.79</v>
      </c>
      <c r="H80" s="254">
        <f t="shared" si="11"/>
        <v>65025.479999999996</v>
      </c>
      <c r="I80" s="234" t="s">
        <v>409</v>
      </c>
      <c r="J80" s="235">
        <v>20000</v>
      </c>
      <c r="K80" s="235">
        <v>11936</v>
      </c>
      <c r="L80" s="236">
        <v>15000</v>
      </c>
      <c r="M80" s="237">
        <v>248070.79</v>
      </c>
      <c r="N80" s="238">
        <f t="shared" si="12"/>
        <v>65025.479999999996</v>
      </c>
      <c r="O80" s="239">
        <v>15411.32</v>
      </c>
      <c r="P80" s="240">
        <f t="shared" si="13"/>
        <v>44652.742200000001</v>
      </c>
      <c r="Q80" s="241">
        <v>5481.62</v>
      </c>
      <c r="R80" s="230">
        <f t="shared" si="16"/>
        <v>383</v>
      </c>
      <c r="V80" s="223"/>
      <c r="W80" s="223"/>
      <c r="X80" s="223"/>
      <c r="Y80" s="223"/>
      <c r="Z80" s="223"/>
      <c r="AA80" s="223"/>
      <c r="AB80" s="223"/>
      <c r="AC80" s="223"/>
      <c r="AD80" s="223"/>
      <c r="AE80" s="223"/>
      <c r="AF80" s="223"/>
      <c r="AG80" s="223"/>
      <c r="AH80" s="223"/>
      <c r="AI80" s="223"/>
      <c r="AJ80" s="223"/>
      <c r="AK80" s="223"/>
      <c r="AL80" s="223"/>
      <c r="AM80" s="223"/>
      <c r="AN80" s="223"/>
      <c r="AO80" s="223"/>
      <c r="AP80" s="223"/>
      <c r="AQ80" s="223"/>
      <c r="AR80" s="223"/>
      <c r="AS80" s="223"/>
      <c r="AT80" s="223"/>
      <c r="AU80" s="223"/>
      <c r="AV80" s="223"/>
      <c r="AW80" s="223"/>
      <c r="AX80" s="223"/>
      <c r="AY80" s="223"/>
      <c r="AZ80" s="223"/>
      <c r="BA80" s="223"/>
    </row>
    <row r="81" spans="1:53">
      <c r="A81" s="296" t="s">
        <v>593</v>
      </c>
      <c r="B81" s="297" t="s">
        <v>594</v>
      </c>
      <c r="C81" s="297" t="s">
        <v>595</v>
      </c>
      <c r="D81" s="297" t="s">
        <v>459</v>
      </c>
      <c r="E81" s="297" t="s">
        <v>64</v>
      </c>
      <c r="F81" s="297" t="s">
        <v>596</v>
      </c>
      <c r="G81" s="298">
        <v>12999.17</v>
      </c>
      <c r="H81" s="298">
        <f t="shared" si="11"/>
        <v>155990.04</v>
      </c>
      <c r="I81" s="234" t="s">
        <v>409</v>
      </c>
      <c r="J81" s="235">
        <v>10000</v>
      </c>
      <c r="K81" s="235">
        <v>6710</v>
      </c>
      <c r="L81" s="236">
        <v>10000</v>
      </c>
      <c r="M81" s="237">
        <v>532068</v>
      </c>
      <c r="N81" s="238">
        <f t="shared" si="12"/>
        <v>155990.04</v>
      </c>
      <c r="O81" s="239">
        <v>49576.44</v>
      </c>
      <c r="P81" s="240">
        <f t="shared" si="13"/>
        <v>95772.24</v>
      </c>
      <c r="Q81" s="241">
        <v>6057.27</v>
      </c>
      <c r="R81" s="230">
        <f>5248+36</f>
        <v>5284</v>
      </c>
      <c r="V81" s="223"/>
      <c r="W81" s="223"/>
      <c r="X81" s="223"/>
      <c r="Y81" s="223"/>
      <c r="Z81" s="223"/>
      <c r="AA81" s="223"/>
      <c r="AB81" s="223"/>
      <c r="AC81" s="223"/>
      <c r="AD81" s="223"/>
      <c r="AE81" s="223"/>
      <c r="AF81" s="223"/>
      <c r="AG81" s="223"/>
      <c r="AH81" s="223"/>
      <c r="AI81" s="223"/>
      <c r="AJ81" s="223"/>
      <c r="AK81" s="223"/>
      <c r="AL81" s="223"/>
      <c r="AM81" s="223"/>
      <c r="AN81" s="223"/>
      <c r="AO81" s="223"/>
      <c r="AP81" s="223"/>
      <c r="AQ81" s="223"/>
      <c r="AR81" s="223"/>
      <c r="AS81" s="223"/>
      <c r="AT81" s="223"/>
      <c r="AU81" s="223"/>
      <c r="AV81" s="223"/>
      <c r="AW81" s="223"/>
      <c r="AX81" s="223"/>
      <c r="AY81" s="223"/>
      <c r="AZ81" s="223"/>
      <c r="BA81" s="223"/>
    </row>
    <row r="82" spans="1:53">
      <c r="A82" s="290" t="s">
        <v>597</v>
      </c>
      <c r="B82" s="291" t="s">
        <v>598</v>
      </c>
      <c r="C82" s="291" t="s">
        <v>599</v>
      </c>
      <c r="D82" s="291" t="s">
        <v>600</v>
      </c>
      <c r="E82" s="291" t="s">
        <v>66</v>
      </c>
      <c r="F82" s="291" t="s">
        <v>405</v>
      </c>
      <c r="G82" s="292">
        <v>6892.51</v>
      </c>
      <c r="H82" s="292">
        <f t="shared" si="11"/>
        <v>82710.12</v>
      </c>
      <c r="I82" s="234" t="s">
        <v>446</v>
      </c>
      <c r="J82" s="235">
        <v>20000</v>
      </c>
      <c r="K82" s="235">
        <v>11906</v>
      </c>
      <c r="L82" s="236">
        <v>15000</v>
      </c>
      <c r="M82" s="237">
        <v>231156.68</v>
      </c>
      <c r="N82" s="238">
        <f t="shared" si="12"/>
        <v>82710.12</v>
      </c>
      <c r="O82" s="239">
        <v>36478.78</v>
      </c>
      <c r="P82" s="240">
        <f t="shared" si="13"/>
        <v>41608.202399999995</v>
      </c>
      <c r="Q82" s="241">
        <v>6057.27</v>
      </c>
      <c r="R82" s="230">
        <v>636</v>
      </c>
      <c r="V82" s="223"/>
      <c r="W82" s="223"/>
      <c r="X82" s="223"/>
      <c r="Y82" s="223"/>
      <c r="Z82" s="223"/>
      <c r="AA82" s="223"/>
      <c r="AB82" s="223"/>
      <c r="AC82" s="223"/>
      <c r="AD82" s="223"/>
      <c r="AE82" s="223"/>
      <c r="AF82" s="223"/>
      <c r="AG82" s="223"/>
      <c r="AH82" s="223"/>
      <c r="AI82" s="223"/>
      <c r="AJ82" s="223"/>
      <c r="AK82" s="223"/>
      <c r="AL82" s="223"/>
      <c r="AM82" s="223"/>
      <c r="AN82" s="223"/>
      <c r="AO82" s="223"/>
      <c r="AP82" s="223"/>
      <c r="AQ82" s="223"/>
      <c r="AR82" s="223"/>
      <c r="AS82" s="223"/>
      <c r="AT82" s="223"/>
      <c r="AU82" s="223"/>
      <c r="AV82" s="223"/>
      <c r="AW82" s="223"/>
      <c r="AX82" s="223"/>
      <c r="AY82" s="223"/>
      <c r="AZ82" s="223"/>
      <c r="BA82" s="223"/>
    </row>
    <row r="83" spans="1:53">
      <c r="A83" s="290" t="s">
        <v>601</v>
      </c>
      <c r="B83" s="291" t="s">
        <v>602</v>
      </c>
      <c r="C83" s="291" t="s">
        <v>603</v>
      </c>
      <c r="D83" s="291" t="s">
        <v>600</v>
      </c>
      <c r="E83" s="291" t="s">
        <v>66</v>
      </c>
      <c r="F83" s="291" t="s">
        <v>405</v>
      </c>
      <c r="G83" s="292">
        <v>6892.51</v>
      </c>
      <c r="H83" s="292">
        <f t="shared" si="11"/>
        <v>82710.12</v>
      </c>
      <c r="I83" s="234" t="s">
        <v>446</v>
      </c>
      <c r="J83" s="235">
        <v>10000</v>
      </c>
      <c r="K83" s="235">
        <v>0</v>
      </c>
      <c r="L83" s="236">
        <v>15000</v>
      </c>
      <c r="M83" s="237">
        <v>231156.68</v>
      </c>
      <c r="N83" s="238">
        <f t="shared" si="12"/>
        <v>82710.12</v>
      </c>
      <c r="O83" s="239">
        <v>36478.78</v>
      </c>
      <c r="P83" s="240">
        <f t="shared" si="13"/>
        <v>41608.202399999995</v>
      </c>
      <c r="Q83" s="241">
        <v>6057.27</v>
      </c>
      <c r="R83" s="230">
        <v>636</v>
      </c>
      <c r="V83" s="223"/>
      <c r="W83" s="223"/>
      <c r="X83" s="223"/>
      <c r="Y83" s="223"/>
      <c r="Z83" s="223"/>
      <c r="AA83" s="223"/>
      <c r="AB83" s="223"/>
      <c r="AC83" s="223"/>
      <c r="AD83" s="223"/>
      <c r="AE83" s="223"/>
      <c r="AF83" s="223"/>
      <c r="AG83" s="223"/>
      <c r="AH83" s="223"/>
      <c r="AI83" s="223"/>
      <c r="AJ83" s="223"/>
      <c r="AK83" s="223"/>
      <c r="AL83" s="223"/>
      <c r="AM83" s="223"/>
      <c r="AN83" s="223"/>
      <c r="AO83" s="223"/>
      <c r="AP83" s="223"/>
      <c r="AQ83" s="223"/>
      <c r="AR83" s="223"/>
      <c r="AS83" s="223"/>
      <c r="AT83" s="223"/>
      <c r="AU83" s="223"/>
      <c r="AV83" s="223"/>
      <c r="AW83" s="223"/>
      <c r="AX83" s="223"/>
      <c r="AY83" s="223"/>
      <c r="AZ83" s="223"/>
      <c r="BA83" s="223"/>
    </row>
    <row r="84" spans="1:53">
      <c r="A84" s="290" t="s">
        <v>604</v>
      </c>
      <c r="B84" s="291" t="s">
        <v>605</v>
      </c>
      <c r="C84" s="291" t="s">
        <v>606</v>
      </c>
      <c r="D84" s="291" t="s">
        <v>600</v>
      </c>
      <c r="E84" s="291" t="s">
        <v>65</v>
      </c>
      <c r="F84" s="291" t="s">
        <v>405</v>
      </c>
      <c r="G84" s="292">
        <v>6892.51</v>
      </c>
      <c r="H84" s="292">
        <f t="shared" si="11"/>
        <v>82710.12</v>
      </c>
      <c r="I84" s="234" t="s">
        <v>446</v>
      </c>
      <c r="J84" s="235">
        <v>10000</v>
      </c>
      <c r="K84" s="235">
        <v>7795</v>
      </c>
      <c r="L84" s="236">
        <v>10000</v>
      </c>
      <c r="M84" s="237">
        <v>231156.68</v>
      </c>
      <c r="N84" s="238">
        <f t="shared" si="12"/>
        <v>82710.12</v>
      </c>
      <c r="O84" s="239">
        <v>36478.78</v>
      </c>
      <c r="P84" s="240">
        <f t="shared" si="13"/>
        <v>41608.202399999995</v>
      </c>
      <c r="Q84" s="241">
        <v>6057.27</v>
      </c>
      <c r="R84" s="230">
        <v>636</v>
      </c>
      <c r="V84" s="223"/>
      <c r="W84" s="223"/>
      <c r="X84" s="223"/>
      <c r="Y84" s="223"/>
      <c r="Z84" s="223"/>
      <c r="AA84" s="223"/>
      <c r="AB84" s="223"/>
      <c r="AC84" s="223"/>
      <c r="AD84" s="223"/>
      <c r="AE84" s="223"/>
      <c r="AF84" s="223"/>
      <c r="AG84" s="223"/>
      <c r="AH84" s="223"/>
      <c r="AI84" s="223"/>
      <c r="AJ84" s="223"/>
      <c r="AK84" s="223"/>
      <c r="AL84" s="223"/>
      <c r="AM84" s="223"/>
      <c r="AN84" s="223"/>
      <c r="AO84" s="223"/>
      <c r="AP84" s="223"/>
      <c r="AQ84" s="223"/>
      <c r="AR84" s="223"/>
      <c r="AS84" s="223"/>
      <c r="AT84" s="223"/>
      <c r="AU84" s="223"/>
      <c r="AV84" s="223"/>
      <c r="AW84" s="223"/>
      <c r="AX84" s="223"/>
      <c r="AY84" s="223"/>
      <c r="AZ84" s="223"/>
      <c r="BA84" s="223"/>
    </row>
    <row r="85" spans="1:53">
      <c r="A85" s="266" t="s">
        <v>607</v>
      </c>
      <c r="B85" s="267" t="s">
        <v>608</v>
      </c>
      <c r="C85" s="267" t="s">
        <v>609</v>
      </c>
      <c r="D85" s="267" t="s">
        <v>519</v>
      </c>
      <c r="E85" s="267" t="s">
        <v>136</v>
      </c>
      <c r="F85" s="267" t="s">
        <v>520</v>
      </c>
      <c r="G85" s="268">
        <v>13295.81</v>
      </c>
      <c r="H85" s="268">
        <f t="shared" si="11"/>
        <v>159549.72</v>
      </c>
      <c r="I85" s="234" t="s">
        <v>409</v>
      </c>
      <c r="J85" s="235">
        <v>20000</v>
      </c>
      <c r="K85" s="235">
        <v>0</v>
      </c>
      <c r="L85" s="236">
        <v>15000</v>
      </c>
      <c r="M85" s="237">
        <v>546796.32999999996</v>
      </c>
      <c r="N85" s="238">
        <f t="shared" si="12"/>
        <v>159549.72</v>
      </c>
      <c r="O85" s="239">
        <v>50190.45</v>
      </c>
      <c r="P85" s="240">
        <f t="shared" si="13"/>
        <v>98423.339399999997</v>
      </c>
      <c r="Q85" s="241">
        <v>6057.27</v>
      </c>
      <c r="R85" s="230">
        <f t="shared" ref="R85:R86" si="17">5248+36</f>
        <v>5284</v>
      </c>
      <c r="V85" s="223"/>
      <c r="W85" s="223"/>
      <c r="X85" s="223"/>
      <c r="Y85" s="223"/>
      <c r="Z85" s="223"/>
      <c r="AA85" s="223"/>
      <c r="AB85" s="223"/>
      <c r="AC85" s="223"/>
      <c r="AD85" s="223"/>
      <c r="AE85" s="223"/>
      <c r="AF85" s="223"/>
      <c r="AG85" s="223"/>
      <c r="AH85" s="223"/>
      <c r="AI85" s="223"/>
      <c r="AJ85" s="223"/>
      <c r="AK85" s="223"/>
      <c r="AL85" s="223"/>
      <c r="AM85" s="223"/>
      <c r="AN85" s="223"/>
      <c r="AO85" s="223"/>
      <c r="AP85" s="223"/>
      <c r="AQ85" s="223"/>
      <c r="AR85" s="223"/>
      <c r="AS85" s="223"/>
      <c r="AT85" s="223"/>
      <c r="AU85" s="223"/>
      <c r="AV85" s="223"/>
      <c r="AW85" s="223"/>
      <c r="AX85" s="223"/>
      <c r="AY85" s="223"/>
      <c r="AZ85" s="223"/>
      <c r="BA85" s="223"/>
    </row>
    <row r="86" spans="1:53">
      <c r="A86" s="223" t="s">
        <v>610</v>
      </c>
      <c r="B86" s="234" t="s">
        <v>611</v>
      </c>
      <c r="C86" s="234" t="s">
        <v>612</v>
      </c>
      <c r="D86" s="267" t="s">
        <v>519</v>
      </c>
      <c r="E86" s="267" t="s">
        <v>136</v>
      </c>
      <c r="F86" s="267" t="s">
        <v>520</v>
      </c>
      <c r="G86" s="268">
        <v>13296.81</v>
      </c>
      <c r="H86" s="268">
        <f t="shared" si="11"/>
        <v>159561.72</v>
      </c>
      <c r="I86" s="234" t="s">
        <v>409</v>
      </c>
      <c r="J86" s="235">
        <v>20000</v>
      </c>
      <c r="K86" s="235">
        <v>0</v>
      </c>
      <c r="L86" s="236">
        <v>20000</v>
      </c>
      <c r="M86" s="237">
        <v>546796.32999999996</v>
      </c>
      <c r="N86" s="238">
        <f t="shared" si="12"/>
        <v>159561.72</v>
      </c>
      <c r="O86" s="239">
        <v>50190.45</v>
      </c>
      <c r="P86" s="240">
        <f t="shared" si="13"/>
        <v>98423.339399999997</v>
      </c>
      <c r="Q86" s="241">
        <v>6057.27</v>
      </c>
      <c r="R86" s="230">
        <f t="shared" si="17"/>
        <v>5284</v>
      </c>
      <c r="V86" s="223"/>
      <c r="W86" s="223"/>
      <c r="X86" s="223"/>
      <c r="Y86" s="223"/>
      <c r="Z86" s="223"/>
      <c r="AA86" s="223"/>
      <c r="AB86" s="223"/>
      <c r="AC86" s="223"/>
      <c r="AD86" s="223"/>
      <c r="AE86" s="223"/>
      <c r="AF86" s="223"/>
      <c r="AG86" s="223"/>
      <c r="AH86" s="223"/>
      <c r="AI86" s="223"/>
      <c r="AJ86" s="223"/>
      <c r="AK86" s="223"/>
      <c r="AL86" s="223"/>
      <c r="AM86" s="223"/>
      <c r="AN86" s="223"/>
      <c r="AO86" s="223"/>
      <c r="AP86" s="223"/>
      <c r="AQ86" s="223"/>
      <c r="AR86" s="223"/>
      <c r="AS86" s="223"/>
      <c r="AT86" s="223"/>
      <c r="AU86" s="223"/>
      <c r="AV86" s="223"/>
      <c r="AW86" s="223"/>
      <c r="AX86" s="223"/>
      <c r="AY86" s="223"/>
      <c r="AZ86" s="223"/>
      <c r="BA86" s="223"/>
    </row>
    <row r="87" spans="1:53">
      <c r="A87" s="263" t="s">
        <v>613</v>
      </c>
      <c r="B87" s="264" t="s">
        <v>614</v>
      </c>
      <c r="C87" s="264" t="s">
        <v>612</v>
      </c>
      <c r="D87" s="264" t="s">
        <v>615</v>
      </c>
      <c r="E87" s="264" t="s">
        <v>431</v>
      </c>
      <c r="F87" s="264" t="s">
        <v>452</v>
      </c>
      <c r="G87" s="265">
        <v>8221.42</v>
      </c>
      <c r="H87" s="265">
        <f t="shared" si="11"/>
        <v>98657.040000000008</v>
      </c>
      <c r="I87" s="234" t="s">
        <v>409</v>
      </c>
      <c r="J87" s="235">
        <v>20000</v>
      </c>
      <c r="K87" s="235">
        <v>0</v>
      </c>
      <c r="L87" s="236">
        <v>20000</v>
      </c>
      <c r="M87" s="237">
        <v>297175.94</v>
      </c>
      <c r="N87" s="238">
        <f t="shared" si="12"/>
        <v>98657.040000000008</v>
      </c>
      <c r="O87" s="239">
        <v>39221.85</v>
      </c>
      <c r="P87" s="240">
        <f t="shared" si="13"/>
        <v>53491.669200000004</v>
      </c>
      <c r="Q87" s="241">
        <v>6057.27</v>
      </c>
      <c r="R87" s="230">
        <v>1838</v>
      </c>
      <c r="V87" s="223"/>
      <c r="W87" s="223"/>
      <c r="X87" s="223"/>
      <c r="Y87" s="223"/>
      <c r="Z87" s="223"/>
      <c r="AA87" s="223"/>
      <c r="AB87" s="223"/>
      <c r="AC87" s="223"/>
      <c r="AD87" s="223"/>
      <c r="AE87" s="223"/>
      <c r="AF87" s="223"/>
      <c r="AG87" s="223"/>
      <c r="AH87" s="223"/>
      <c r="AI87" s="223"/>
      <c r="AJ87" s="223"/>
      <c r="AK87" s="223"/>
      <c r="AL87" s="223"/>
      <c r="AM87" s="223"/>
      <c r="AN87" s="223"/>
      <c r="AO87" s="223"/>
      <c r="AP87" s="223"/>
      <c r="AQ87" s="223"/>
      <c r="AR87" s="223"/>
      <c r="AS87" s="223"/>
      <c r="AT87" s="223"/>
      <c r="AU87" s="223"/>
      <c r="AV87" s="223"/>
      <c r="AW87" s="223"/>
      <c r="AX87" s="223"/>
      <c r="AY87" s="223"/>
      <c r="AZ87" s="223"/>
      <c r="BA87" s="223"/>
    </row>
    <row r="88" spans="1:53">
      <c r="A88" s="263" t="s">
        <v>616</v>
      </c>
      <c r="B88" s="264" t="s">
        <v>617</v>
      </c>
      <c r="C88" s="264" t="s">
        <v>612</v>
      </c>
      <c r="D88" s="264" t="s">
        <v>615</v>
      </c>
      <c r="E88" s="264" t="s">
        <v>431</v>
      </c>
      <c r="F88" s="264" t="s">
        <v>452</v>
      </c>
      <c r="G88" s="265">
        <v>8221.42</v>
      </c>
      <c r="H88" s="265">
        <f t="shared" si="11"/>
        <v>98657.040000000008</v>
      </c>
      <c r="I88" s="234" t="s">
        <v>409</v>
      </c>
      <c r="J88" s="235">
        <v>20000</v>
      </c>
      <c r="K88" s="235">
        <v>0</v>
      </c>
      <c r="L88" s="236">
        <v>20000</v>
      </c>
      <c r="M88" s="237">
        <v>297175.94</v>
      </c>
      <c r="N88" s="238">
        <f t="shared" si="12"/>
        <v>98657.040000000008</v>
      </c>
      <c r="O88" s="239">
        <v>39221.85</v>
      </c>
      <c r="P88" s="240">
        <f t="shared" si="13"/>
        <v>53491.669200000004</v>
      </c>
      <c r="Q88" s="241">
        <v>6057.27</v>
      </c>
      <c r="R88" s="230">
        <v>1838</v>
      </c>
      <c r="V88" s="223"/>
      <c r="W88" s="223"/>
      <c r="X88" s="223"/>
      <c r="Y88" s="223"/>
      <c r="Z88" s="223"/>
      <c r="AA88" s="223"/>
      <c r="AB88" s="223"/>
      <c r="AC88" s="223"/>
      <c r="AD88" s="223"/>
      <c r="AE88" s="223"/>
      <c r="AF88" s="223"/>
      <c r="AG88" s="223"/>
      <c r="AH88" s="223"/>
      <c r="AI88" s="223"/>
      <c r="AJ88" s="223"/>
      <c r="AK88" s="223"/>
      <c r="AL88" s="223"/>
      <c r="AM88" s="223"/>
      <c r="AN88" s="223"/>
      <c r="AO88" s="223"/>
      <c r="AP88" s="223"/>
      <c r="AQ88" s="223"/>
      <c r="AR88" s="223"/>
      <c r="AS88" s="223"/>
      <c r="AT88" s="223"/>
      <c r="AU88" s="223"/>
      <c r="AV88" s="223"/>
      <c r="AW88" s="223"/>
      <c r="AX88" s="223"/>
      <c r="AY88" s="223"/>
      <c r="AZ88" s="223"/>
      <c r="BA88" s="223"/>
    </row>
    <row r="89" spans="1:53">
      <c r="A89" s="263" t="s">
        <v>618</v>
      </c>
      <c r="B89" s="264" t="s">
        <v>619</v>
      </c>
      <c r="C89" s="264" t="s">
        <v>612</v>
      </c>
      <c r="D89" s="264" t="s">
        <v>615</v>
      </c>
      <c r="E89" s="264" t="s">
        <v>431</v>
      </c>
      <c r="F89" s="264" t="s">
        <v>452</v>
      </c>
      <c r="G89" s="265">
        <v>8221.42</v>
      </c>
      <c r="H89" s="265">
        <f t="shared" si="11"/>
        <v>98657.040000000008</v>
      </c>
      <c r="I89" s="234" t="s">
        <v>409</v>
      </c>
      <c r="J89" s="235">
        <v>20000</v>
      </c>
      <c r="K89" s="235">
        <v>0</v>
      </c>
      <c r="L89" s="236">
        <v>20000</v>
      </c>
      <c r="M89" s="237">
        <v>297175.94</v>
      </c>
      <c r="N89" s="238">
        <f t="shared" si="12"/>
        <v>98657.040000000008</v>
      </c>
      <c r="O89" s="239">
        <v>39221.85</v>
      </c>
      <c r="P89" s="240">
        <f t="shared" si="13"/>
        <v>53491.669200000004</v>
      </c>
      <c r="Q89" s="241">
        <v>6057.27</v>
      </c>
      <c r="R89" s="230">
        <v>1838</v>
      </c>
      <c r="V89" s="223"/>
      <c r="W89" s="223"/>
      <c r="X89" s="223"/>
      <c r="Y89" s="223"/>
      <c r="Z89" s="223"/>
      <c r="AA89" s="223"/>
      <c r="AB89" s="223"/>
      <c r="AC89" s="223"/>
      <c r="AD89" s="223"/>
      <c r="AE89" s="223"/>
      <c r="AF89" s="223"/>
      <c r="AG89" s="223"/>
      <c r="AH89" s="223"/>
      <c r="AI89" s="223"/>
      <c r="AJ89" s="223"/>
      <c r="AK89" s="223"/>
      <c r="AL89" s="223"/>
      <c r="AM89" s="223"/>
      <c r="AN89" s="223"/>
      <c r="AO89" s="223"/>
      <c r="AP89" s="223"/>
      <c r="AQ89" s="223"/>
      <c r="AR89" s="223"/>
      <c r="AS89" s="223"/>
      <c r="AT89" s="223"/>
      <c r="AU89" s="223"/>
      <c r="AV89" s="223"/>
      <c r="AW89" s="223"/>
      <c r="AX89" s="223"/>
      <c r="AY89" s="223"/>
      <c r="AZ89" s="223"/>
      <c r="BA89" s="223"/>
    </row>
    <row r="90" spans="1:53" s="278" customFormat="1">
      <c r="A90" s="223"/>
      <c r="B90" s="278" t="s">
        <v>633</v>
      </c>
      <c r="C90" s="278" t="s">
        <v>612</v>
      </c>
      <c r="D90" s="278" t="s">
        <v>644</v>
      </c>
      <c r="E90" s="278" t="s">
        <v>64</v>
      </c>
      <c r="F90" s="278" t="s">
        <v>649</v>
      </c>
      <c r="G90" s="319"/>
      <c r="H90" s="319"/>
      <c r="I90" s="278" t="s">
        <v>654</v>
      </c>
      <c r="J90" s="320"/>
      <c r="K90" s="320">
        <v>0</v>
      </c>
      <c r="L90" s="321"/>
      <c r="M90" s="322">
        <v>711671</v>
      </c>
      <c r="N90" s="323">
        <v>200000</v>
      </c>
      <c r="O90" s="323">
        <v>60000</v>
      </c>
      <c r="P90" s="323">
        <f t="shared" si="13"/>
        <v>128100.78</v>
      </c>
      <c r="Q90" s="323">
        <v>9800</v>
      </c>
      <c r="R90" s="324">
        <v>6500</v>
      </c>
      <c r="S90" s="324"/>
      <c r="T90" s="324"/>
      <c r="U90" s="324"/>
      <c r="V90" s="324"/>
      <c r="W90" s="324"/>
      <c r="X90" s="324"/>
      <c r="Y90" s="324"/>
      <c r="Z90" s="324"/>
      <c r="AA90" s="324"/>
      <c r="AB90" s="324"/>
      <c r="AC90" s="324"/>
      <c r="AD90" s="324"/>
      <c r="AE90" s="324"/>
      <c r="AF90" s="324"/>
      <c r="AG90" s="324"/>
      <c r="AH90" s="324"/>
      <c r="AI90" s="324"/>
      <c r="AJ90" s="324"/>
      <c r="AK90" s="324"/>
      <c r="AL90" s="324"/>
      <c r="AM90" s="324"/>
      <c r="AN90" s="324"/>
      <c r="AO90" s="324"/>
      <c r="AP90" s="324"/>
      <c r="AQ90" s="324"/>
      <c r="AR90" s="324"/>
      <c r="AS90" s="324"/>
      <c r="AT90" s="324"/>
      <c r="AU90" s="324"/>
      <c r="AV90" s="324"/>
      <c r="AW90" s="324"/>
      <c r="AX90" s="324"/>
      <c r="AY90" s="324"/>
      <c r="AZ90" s="324"/>
      <c r="BA90" s="324"/>
    </row>
    <row r="91" spans="1:53" s="278" customFormat="1">
      <c r="A91" s="223"/>
      <c r="B91" s="278" t="s">
        <v>634</v>
      </c>
      <c r="C91" s="278" t="s">
        <v>612</v>
      </c>
      <c r="D91" s="278" t="s">
        <v>644</v>
      </c>
      <c r="E91" s="278" t="s">
        <v>64</v>
      </c>
      <c r="F91" s="278" t="s">
        <v>649</v>
      </c>
      <c r="G91" s="319"/>
      <c r="H91" s="319"/>
      <c r="I91" s="278" t="s">
        <v>654</v>
      </c>
      <c r="J91" s="320"/>
      <c r="K91" s="320">
        <v>0</v>
      </c>
      <c r="L91" s="321"/>
      <c r="M91" s="322">
        <v>711671</v>
      </c>
      <c r="N91" s="323">
        <v>200000</v>
      </c>
      <c r="O91" s="323">
        <v>60000</v>
      </c>
      <c r="P91" s="323">
        <f t="shared" si="13"/>
        <v>128100.78</v>
      </c>
      <c r="Q91" s="323">
        <v>9800</v>
      </c>
      <c r="R91" s="324">
        <v>6500</v>
      </c>
      <c r="S91" s="324"/>
      <c r="T91" s="324"/>
      <c r="U91" s="324"/>
      <c r="V91" s="324"/>
      <c r="W91" s="324"/>
      <c r="X91" s="324"/>
      <c r="Y91" s="324"/>
      <c r="Z91" s="324"/>
      <c r="AA91" s="324"/>
      <c r="AB91" s="324"/>
      <c r="AC91" s="324"/>
      <c r="AD91" s="324"/>
      <c r="AE91" s="324"/>
      <c r="AF91" s="324"/>
      <c r="AG91" s="324"/>
      <c r="AH91" s="324"/>
      <c r="AI91" s="324"/>
      <c r="AJ91" s="324"/>
      <c r="AK91" s="324"/>
      <c r="AL91" s="324"/>
      <c r="AM91" s="324"/>
      <c r="AN91" s="324"/>
      <c r="AO91" s="324"/>
      <c r="AP91" s="324"/>
      <c r="AQ91" s="324"/>
      <c r="AR91" s="324"/>
      <c r="AS91" s="324"/>
      <c r="AT91" s="324"/>
      <c r="AU91" s="324"/>
      <c r="AV91" s="324"/>
      <c r="AW91" s="324"/>
      <c r="AX91" s="324"/>
      <c r="AY91" s="324"/>
      <c r="AZ91" s="324"/>
      <c r="BA91" s="324"/>
    </row>
    <row r="92" spans="1:53" s="278" customFormat="1">
      <c r="A92" s="223"/>
      <c r="B92" s="278" t="s">
        <v>635</v>
      </c>
      <c r="C92" s="278" t="s">
        <v>612</v>
      </c>
      <c r="D92" s="278" t="s">
        <v>645</v>
      </c>
      <c r="E92" s="278" t="s">
        <v>64</v>
      </c>
      <c r="F92" s="278" t="s">
        <v>650</v>
      </c>
      <c r="G92" s="319"/>
      <c r="H92" s="319"/>
      <c r="I92" s="278" t="s">
        <v>655</v>
      </c>
      <c r="J92" s="320"/>
      <c r="K92" s="320">
        <v>0</v>
      </c>
      <c r="L92" s="321"/>
      <c r="M92" s="322">
        <v>799683.51</v>
      </c>
      <c r="N92" s="323">
        <v>220000</v>
      </c>
      <c r="O92" s="323">
        <v>80000</v>
      </c>
      <c r="P92" s="323">
        <f t="shared" si="13"/>
        <v>143943.0318</v>
      </c>
      <c r="Q92" s="323">
        <v>9800</v>
      </c>
      <c r="R92" s="324">
        <v>6500</v>
      </c>
      <c r="S92" s="324"/>
      <c r="T92" s="324"/>
      <c r="U92" s="324"/>
      <c r="V92" s="324"/>
      <c r="W92" s="324"/>
      <c r="X92" s="324"/>
      <c r="Y92" s="324"/>
      <c r="Z92" s="324"/>
      <c r="AA92" s="324"/>
      <c r="AB92" s="324"/>
      <c r="AC92" s="324"/>
      <c r="AD92" s="324"/>
      <c r="AE92" s="324"/>
      <c r="AF92" s="324"/>
      <c r="AG92" s="324"/>
      <c r="AH92" s="324"/>
      <c r="AI92" s="324"/>
      <c r="AJ92" s="324"/>
      <c r="AK92" s="324"/>
      <c r="AL92" s="324"/>
      <c r="AM92" s="324"/>
      <c r="AN92" s="324"/>
      <c r="AO92" s="324"/>
      <c r="AP92" s="324"/>
      <c r="AQ92" s="324"/>
      <c r="AR92" s="324"/>
      <c r="AS92" s="324"/>
      <c r="AT92" s="324"/>
      <c r="AU92" s="324"/>
      <c r="AV92" s="324"/>
      <c r="AW92" s="324"/>
      <c r="AX92" s="324"/>
      <c r="AY92" s="324"/>
      <c r="AZ92" s="324"/>
      <c r="BA92" s="324"/>
    </row>
    <row r="93" spans="1:53" s="278" customFormat="1">
      <c r="A93" s="223"/>
      <c r="B93" s="278" t="s">
        <v>636</v>
      </c>
      <c r="C93" s="278" t="s">
        <v>612</v>
      </c>
      <c r="D93" s="278" t="s">
        <v>645</v>
      </c>
      <c r="E93" s="278" t="s">
        <v>64</v>
      </c>
      <c r="F93" s="278" t="s">
        <v>650</v>
      </c>
      <c r="G93" s="319"/>
      <c r="H93" s="319"/>
      <c r="I93" s="278" t="s">
        <v>655</v>
      </c>
      <c r="J93" s="320"/>
      <c r="K93" s="320">
        <v>0</v>
      </c>
      <c r="L93" s="321"/>
      <c r="M93" s="322">
        <v>799683.51</v>
      </c>
      <c r="N93" s="323">
        <v>220000</v>
      </c>
      <c r="O93" s="323">
        <v>80000</v>
      </c>
      <c r="P93" s="323">
        <f t="shared" si="13"/>
        <v>143943.0318</v>
      </c>
      <c r="Q93" s="323">
        <v>9800</v>
      </c>
      <c r="R93" s="324">
        <v>6500</v>
      </c>
      <c r="S93" s="324"/>
      <c r="T93" s="324"/>
      <c r="U93" s="324"/>
      <c r="V93" s="324"/>
      <c r="W93" s="324"/>
      <c r="X93" s="324"/>
      <c r="Y93" s="324"/>
      <c r="Z93" s="324"/>
      <c r="AA93" s="324"/>
      <c r="AB93" s="324"/>
      <c r="AC93" s="324"/>
      <c r="AD93" s="324"/>
      <c r="AE93" s="324"/>
      <c r="AF93" s="324"/>
      <c r="AG93" s="324"/>
      <c r="AH93" s="324"/>
      <c r="AI93" s="324"/>
      <c r="AJ93" s="324"/>
      <c r="AK93" s="324"/>
      <c r="AL93" s="324"/>
      <c r="AM93" s="324"/>
      <c r="AN93" s="324"/>
      <c r="AO93" s="324"/>
      <c r="AP93" s="324"/>
      <c r="AQ93" s="324"/>
      <c r="AR93" s="324"/>
      <c r="AS93" s="324"/>
      <c r="AT93" s="324"/>
      <c r="AU93" s="324"/>
      <c r="AV93" s="324"/>
      <c r="AW93" s="324"/>
      <c r="AX93" s="324"/>
      <c r="AY93" s="324"/>
      <c r="AZ93" s="324"/>
      <c r="BA93" s="324"/>
    </row>
    <row r="94" spans="1:53" s="278" customFormat="1">
      <c r="A94" s="223"/>
      <c r="B94" s="278" t="s">
        <v>637</v>
      </c>
      <c r="C94" s="278" t="s">
        <v>612</v>
      </c>
      <c r="D94" s="278" t="s">
        <v>646</v>
      </c>
      <c r="E94" s="278" t="s">
        <v>64</v>
      </c>
      <c r="F94" s="278" t="s">
        <v>651</v>
      </c>
      <c r="G94" s="319"/>
      <c r="H94" s="319"/>
      <c r="I94" s="278" t="s">
        <v>655</v>
      </c>
      <c r="J94" s="320"/>
      <c r="K94" s="320">
        <v>0</v>
      </c>
      <c r="L94" s="321"/>
      <c r="M94" s="322">
        <f>1374995/2</f>
        <v>687497.5</v>
      </c>
      <c r="N94" s="323">
        <v>200000</v>
      </c>
      <c r="O94" s="323">
        <v>60000</v>
      </c>
      <c r="P94" s="323">
        <f t="shared" si="13"/>
        <v>123749.55</v>
      </c>
      <c r="Q94" s="323">
        <v>9800</v>
      </c>
      <c r="R94" s="324">
        <v>6500</v>
      </c>
      <c r="S94" s="324"/>
      <c r="T94" s="324"/>
      <c r="U94" s="324"/>
      <c r="V94" s="324"/>
      <c r="W94" s="324"/>
      <c r="X94" s="324"/>
      <c r="Y94" s="324"/>
      <c r="Z94" s="324"/>
      <c r="AA94" s="324"/>
      <c r="AB94" s="324"/>
      <c r="AC94" s="324"/>
      <c r="AD94" s="324"/>
      <c r="AE94" s="324"/>
      <c r="AF94" s="324"/>
      <c r="AG94" s="324"/>
      <c r="AH94" s="324"/>
      <c r="AI94" s="324"/>
      <c r="AJ94" s="324"/>
      <c r="AK94" s="324"/>
      <c r="AL94" s="324"/>
      <c r="AM94" s="324"/>
      <c r="AN94" s="324"/>
      <c r="AO94" s="324"/>
      <c r="AP94" s="324"/>
      <c r="AQ94" s="324"/>
      <c r="AR94" s="324"/>
      <c r="AS94" s="324"/>
      <c r="AT94" s="324"/>
      <c r="AU94" s="324"/>
      <c r="AV94" s="324"/>
      <c r="AW94" s="324"/>
      <c r="AX94" s="324"/>
      <c r="AY94" s="324"/>
      <c r="AZ94" s="324"/>
      <c r="BA94" s="324"/>
    </row>
    <row r="95" spans="1:53" s="278" customFormat="1">
      <c r="A95" s="223"/>
      <c r="B95" s="278" t="s">
        <v>638</v>
      </c>
      <c r="C95" s="278" t="s">
        <v>612</v>
      </c>
      <c r="D95" s="278" t="s">
        <v>646</v>
      </c>
      <c r="E95" s="278" t="s">
        <v>64</v>
      </c>
      <c r="F95" s="278" t="s">
        <v>651</v>
      </c>
      <c r="G95" s="319"/>
      <c r="H95" s="319"/>
      <c r="I95" s="278" t="s">
        <v>655</v>
      </c>
      <c r="J95" s="320"/>
      <c r="K95" s="320">
        <v>0</v>
      </c>
      <c r="L95" s="321"/>
      <c r="M95" s="322">
        <v>687497.5</v>
      </c>
      <c r="N95" s="323">
        <v>200000</v>
      </c>
      <c r="O95" s="323">
        <v>60000</v>
      </c>
      <c r="P95" s="323">
        <f t="shared" si="13"/>
        <v>123749.55</v>
      </c>
      <c r="Q95" s="323">
        <v>9800</v>
      </c>
      <c r="R95" s="324">
        <v>6500</v>
      </c>
      <c r="S95" s="324"/>
      <c r="T95" s="324"/>
      <c r="U95" s="324"/>
      <c r="V95" s="324"/>
      <c r="W95" s="324"/>
      <c r="X95" s="324"/>
      <c r="Y95" s="324"/>
      <c r="Z95" s="324"/>
      <c r="AA95" s="324"/>
      <c r="AB95" s="324"/>
      <c r="AC95" s="324"/>
      <c r="AD95" s="324"/>
      <c r="AE95" s="324"/>
      <c r="AF95" s="324"/>
      <c r="AG95" s="324"/>
      <c r="AH95" s="324"/>
      <c r="AI95" s="324"/>
      <c r="AJ95" s="324"/>
      <c r="AK95" s="324"/>
      <c r="AL95" s="324"/>
      <c r="AM95" s="324"/>
      <c r="AN95" s="324"/>
      <c r="AO95" s="324"/>
      <c r="AP95" s="324"/>
      <c r="AQ95" s="324"/>
      <c r="AR95" s="324"/>
      <c r="AS95" s="324"/>
      <c r="AT95" s="324"/>
      <c r="AU95" s="324"/>
      <c r="AV95" s="324"/>
      <c r="AW95" s="324"/>
      <c r="AX95" s="324"/>
      <c r="AY95" s="324"/>
      <c r="AZ95" s="324"/>
      <c r="BA95" s="324"/>
    </row>
    <row r="96" spans="1:53" s="278" customFormat="1">
      <c r="A96" s="223"/>
      <c r="B96" s="278" t="s">
        <v>639</v>
      </c>
      <c r="C96" s="278" t="s">
        <v>612</v>
      </c>
      <c r="D96" s="278" t="s">
        <v>647</v>
      </c>
      <c r="E96" s="278" t="s">
        <v>64</v>
      </c>
      <c r="F96" s="278" t="s">
        <v>652</v>
      </c>
      <c r="G96" s="319"/>
      <c r="H96" s="319"/>
      <c r="I96" s="278" t="s">
        <v>656</v>
      </c>
      <c r="J96" s="320"/>
      <c r="K96" s="320">
        <v>0</v>
      </c>
      <c r="L96" s="321"/>
      <c r="M96" s="322">
        <f>1910640/4</f>
        <v>477660</v>
      </c>
      <c r="N96" s="323">
        <v>150000</v>
      </c>
      <c r="O96" s="323">
        <v>50000</v>
      </c>
      <c r="P96" s="323">
        <f t="shared" si="13"/>
        <v>85978.8</v>
      </c>
      <c r="Q96" s="323">
        <v>9800</v>
      </c>
      <c r="R96" s="324">
        <v>6500</v>
      </c>
      <c r="S96" s="324"/>
      <c r="T96" s="324"/>
      <c r="U96" s="324"/>
      <c r="V96" s="324"/>
      <c r="W96" s="324"/>
      <c r="X96" s="324"/>
      <c r="Y96" s="324"/>
      <c r="Z96" s="324"/>
      <c r="AA96" s="324"/>
      <c r="AB96" s="324"/>
      <c r="AC96" s="324"/>
      <c r="AD96" s="324"/>
      <c r="AE96" s="324"/>
      <c r="AF96" s="324"/>
      <c r="AG96" s="324"/>
      <c r="AH96" s="324"/>
      <c r="AI96" s="324"/>
      <c r="AJ96" s="324"/>
      <c r="AK96" s="324"/>
      <c r="AL96" s="324"/>
      <c r="AM96" s="324"/>
      <c r="AN96" s="324"/>
      <c r="AO96" s="324"/>
      <c r="AP96" s="324"/>
      <c r="AQ96" s="324"/>
      <c r="AR96" s="324"/>
      <c r="AS96" s="324"/>
      <c r="AT96" s="324"/>
      <c r="AU96" s="324"/>
      <c r="AV96" s="324"/>
      <c r="AW96" s="324"/>
      <c r="AX96" s="324"/>
      <c r="AY96" s="324"/>
      <c r="AZ96" s="324"/>
      <c r="BA96" s="324"/>
    </row>
    <row r="97" spans="1:53" s="278" customFormat="1">
      <c r="A97" s="223"/>
      <c r="B97" s="278" t="s">
        <v>640</v>
      </c>
      <c r="C97" s="278" t="s">
        <v>612</v>
      </c>
      <c r="D97" s="278" t="s">
        <v>647</v>
      </c>
      <c r="E97" s="278" t="s">
        <v>64</v>
      </c>
      <c r="F97" s="278" t="s">
        <v>652</v>
      </c>
      <c r="G97" s="319"/>
      <c r="H97" s="319"/>
      <c r="I97" s="278" t="s">
        <v>656</v>
      </c>
      <c r="J97" s="320"/>
      <c r="K97" s="320">
        <v>0</v>
      </c>
      <c r="L97" s="321"/>
      <c r="M97" s="322">
        <v>477660</v>
      </c>
      <c r="N97" s="323">
        <v>150000</v>
      </c>
      <c r="O97" s="323">
        <v>50000</v>
      </c>
      <c r="P97" s="323">
        <f t="shared" si="13"/>
        <v>85978.8</v>
      </c>
      <c r="Q97" s="323">
        <v>9800</v>
      </c>
      <c r="R97" s="324">
        <v>6500</v>
      </c>
      <c r="S97" s="324"/>
      <c r="T97" s="324"/>
      <c r="U97" s="324"/>
      <c r="V97" s="324"/>
      <c r="W97" s="324"/>
      <c r="X97" s="324"/>
      <c r="Y97" s="324"/>
      <c r="Z97" s="324"/>
      <c r="AA97" s="324"/>
      <c r="AB97" s="324"/>
      <c r="AC97" s="324"/>
      <c r="AD97" s="324"/>
      <c r="AE97" s="324"/>
      <c r="AF97" s="324"/>
      <c r="AG97" s="324"/>
      <c r="AH97" s="324"/>
      <c r="AI97" s="324"/>
      <c r="AJ97" s="324"/>
      <c r="AK97" s="324"/>
      <c r="AL97" s="324"/>
      <c r="AM97" s="324"/>
      <c r="AN97" s="324"/>
      <c r="AO97" s="324"/>
      <c r="AP97" s="324"/>
      <c r="AQ97" s="324"/>
      <c r="AR97" s="324"/>
      <c r="AS97" s="324"/>
      <c r="AT97" s="324"/>
      <c r="AU97" s="324"/>
      <c r="AV97" s="324"/>
      <c r="AW97" s="324"/>
      <c r="AX97" s="324"/>
      <c r="AY97" s="324"/>
      <c r="AZ97" s="324"/>
      <c r="BA97" s="324"/>
    </row>
    <row r="98" spans="1:53" s="278" customFormat="1">
      <c r="A98" s="223"/>
      <c r="B98" s="278" t="s">
        <v>641</v>
      </c>
      <c r="C98" s="278" t="s">
        <v>612</v>
      </c>
      <c r="D98" s="278" t="s">
        <v>647</v>
      </c>
      <c r="E98" s="278" t="s">
        <v>64</v>
      </c>
      <c r="F98" s="278" t="s">
        <v>652</v>
      </c>
      <c r="G98" s="319"/>
      <c r="H98" s="319"/>
      <c r="I98" s="278" t="s">
        <v>656</v>
      </c>
      <c r="J98" s="320"/>
      <c r="K98" s="320">
        <v>0</v>
      </c>
      <c r="L98" s="321"/>
      <c r="M98" s="322">
        <v>477660</v>
      </c>
      <c r="N98" s="323">
        <v>150000</v>
      </c>
      <c r="O98" s="323">
        <v>50000</v>
      </c>
      <c r="P98" s="323">
        <f t="shared" si="13"/>
        <v>85978.8</v>
      </c>
      <c r="Q98" s="323">
        <v>9800</v>
      </c>
      <c r="R98" s="324">
        <v>6500</v>
      </c>
      <c r="S98" s="324"/>
      <c r="T98" s="324"/>
      <c r="U98" s="324"/>
      <c r="V98" s="324"/>
      <c r="W98" s="324"/>
      <c r="X98" s="324"/>
      <c r="Y98" s="324"/>
      <c r="Z98" s="324"/>
      <c r="AA98" s="324"/>
      <c r="AB98" s="324"/>
      <c r="AC98" s="324"/>
      <c r="AD98" s="324"/>
      <c r="AE98" s="324"/>
      <c r="AF98" s="324"/>
      <c r="AG98" s="324"/>
      <c r="AH98" s="324"/>
      <c r="AI98" s="324"/>
      <c r="AJ98" s="324"/>
      <c r="AK98" s="324"/>
      <c r="AL98" s="324"/>
      <c r="AM98" s="324"/>
      <c r="AN98" s="324"/>
      <c r="AO98" s="324"/>
      <c r="AP98" s="324"/>
      <c r="AQ98" s="324"/>
      <c r="AR98" s="324"/>
      <c r="AS98" s="324"/>
      <c r="AT98" s="324"/>
      <c r="AU98" s="324"/>
      <c r="AV98" s="324"/>
      <c r="AW98" s="324"/>
      <c r="AX98" s="324"/>
      <c r="AY98" s="324"/>
      <c r="AZ98" s="324"/>
      <c r="BA98" s="324"/>
    </row>
    <row r="99" spans="1:53" s="278" customFormat="1">
      <c r="A99" s="223"/>
      <c r="B99" s="278" t="s">
        <v>642</v>
      </c>
      <c r="C99" s="278" t="s">
        <v>612</v>
      </c>
      <c r="D99" s="278" t="s">
        <v>647</v>
      </c>
      <c r="E99" s="278" t="s">
        <v>64</v>
      </c>
      <c r="F99" s="278" t="s">
        <v>652</v>
      </c>
      <c r="G99" s="319"/>
      <c r="H99" s="319"/>
      <c r="I99" s="278" t="s">
        <v>656</v>
      </c>
      <c r="J99" s="320"/>
      <c r="K99" s="320">
        <v>0</v>
      </c>
      <c r="L99" s="321"/>
      <c r="M99" s="322">
        <v>477660</v>
      </c>
      <c r="N99" s="323">
        <v>150000</v>
      </c>
      <c r="O99" s="323">
        <v>50000</v>
      </c>
      <c r="P99" s="323">
        <f t="shared" si="13"/>
        <v>85978.8</v>
      </c>
      <c r="Q99" s="323">
        <v>9800</v>
      </c>
      <c r="R99" s="324">
        <v>6500</v>
      </c>
      <c r="S99" s="324"/>
      <c r="T99" s="324"/>
      <c r="U99" s="324"/>
      <c r="V99" s="324"/>
      <c r="W99" s="324"/>
      <c r="X99" s="324"/>
      <c r="Y99" s="324"/>
      <c r="Z99" s="324"/>
      <c r="AA99" s="324"/>
      <c r="AB99" s="324"/>
      <c r="AC99" s="324"/>
      <c r="AD99" s="324"/>
      <c r="AE99" s="324"/>
      <c r="AF99" s="324"/>
      <c r="AG99" s="324"/>
      <c r="AH99" s="324"/>
      <c r="AI99" s="324"/>
      <c r="AJ99" s="324"/>
      <c r="AK99" s="324"/>
      <c r="AL99" s="324"/>
      <c r="AM99" s="324"/>
      <c r="AN99" s="324"/>
      <c r="AO99" s="324"/>
      <c r="AP99" s="324"/>
      <c r="AQ99" s="324"/>
      <c r="AR99" s="324"/>
      <c r="AS99" s="324"/>
      <c r="AT99" s="324"/>
      <c r="AU99" s="324"/>
      <c r="AV99" s="324"/>
      <c r="AW99" s="324"/>
      <c r="AX99" s="324"/>
      <c r="AY99" s="324"/>
      <c r="AZ99" s="324"/>
      <c r="BA99" s="324"/>
    </row>
    <row r="100" spans="1:53" s="278" customFormat="1">
      <c r="A100" s="223"/>
      <c r="B100" s="278" t="s">
        <v>643</v>
      </c>
      <c r="C100" s="278" t="s">
        <v>612</v>
      </c>
      <c r="D100" s="278" t="s">
        <v>648</v>
      </c>
      <c r="E100" s="278" t="s">
        <v>64</v>
      </c>
      <c r="F100" s="278" t="s">
        <v>653</v>
      </c>
      <c r="G100" s="319"/>
      <c r="H100" s="319"/>
      <c r="I100" s="278" t="s">
        <v>409</v>
      </c>
      <c r="J100" s="320"/>
      <c r="K100" s="320">
        <v>0</v>
      </c>
      <c r="L100" s="321"/>
      <c r="M100" s="322">
        <v>1173869</v>
      </c>
      <c r="N100" s="323">
        <v>350000</v>
      </c>
      <c r="O100" s="323">
        <v>190000</v>
      </c>
      <c r="P100" s="323">
        <f t="shared" si="13"/>
        <v>211296.42</v>
      </c>
      <c r="Q100" s="323">
        <v>9800</v>
      </c>
      <c r="R100" s="324">
        <v>6500</v>
      </c>
      <c r="S100" s="324"/>
      <c r="T100" s="324"/>
      <c r="U100" s="324"/>
      <c r="V100" s="324"/>
      <c r="W100" s="324"/>
      <c r="X100" s="324"/>
      <c r="Y100" s="324"/>
      <c r="Z100" s="324"/>
      <c r="AA100" s="324"/>
      <c r="AB100" s="324"/>
      <c r="AC100" s="324"/>
      <c r="AD100" s="324"/>
      <c r="AE100" s="324"/>
      <c r="AF100" s="324"/>
      <c r="AG100" s="324"/>
      <c r="AH100" s="324"/>
      <c r="AI100" s="324"/>
      <c r="AJ100" s="324"/>
      <c r="AK100" s="324"/>
      <c r="AL100" s="324"/>
      <c r="AM100" s="324"/>
      <c r="AN100" s="324"/>
      <c r="AO100" s="324"/>
      <c r="AP100" s="324"/>
      <c r="AQ100" s="324"/>
      <c r="AR100" s="324"/>
      <c r="AS100" s="324"/>
      <c r="AT100" s="324"/>
      <c r="AU100" s="324"/>
      <c r="AV100" s="324"/>
      <c r="AW100" s="324"/>
      <c r="AX100" s="324"/>
      <c r="AY100" s="324"/>
      <c r="AZ100" s="324"/>
      <c r="BA100" s="324"/>
    </row>
    <row r="101" spans="1:53">
      <c r="G101" s="299"/>
      <c r="H101" s="299"/>
    </row>
    <row r="102" spans="1:53">
      <c r="G102" s="299"/>
      <c r="H102" s="299"/>
    </row>
    <row r="103" spans="1:53">
      <c r="G103" s="299"/>
      <c r="H103" s="299"/>
    </row>
    <row r="104" spans="1:53">
      <c r="G104" s="299"/>
      <c r="H104" s="299"/>
    </row>
    <row r="105" spans="1:53">
      <c r="G105" s="299"/>
      <c r="H105" s="299"/>
    </row>
    <row r="106" spans="1:53">
      <c r="G106" s="299"/>
      <c r="H106" s="299"/>
    </row>
    <row r="107" spans="1:53">
      <c r="G107" s="299"/>
      <c r="H107" s="299"/>
    </row>
    <row r="108" spans="1:53">
      <c r="G108" s="299"/>
      <c r="H108" s="299"/>
    </row>
    <row r="109" spans="1:53">
      <c r="G109" s="299"/>
      <c r="H109" s="299"/>
    </row>
    <row r="110" spans="1:53">
      <c r="G110" s="299"/>
      <c r="H110" s="299"/>
    </row>
    <row r="111" spans="1:53">
      <c r="G111" s="299"/>
      <c r="H111" s="299"/>
    </row>
    <row r="112" spans="1:53">
      <c r="G112" s="299"/>
      <c r="H112" s="299"/>
    </row>
    <row r="113" spans="7:8">
      <c r="G113" s="299"/>
      <c r="H113" s="299"/>
    </row>
    <row r="114" spans="7:8">
      <c r="G114" s="299"/>
      <c r="H114" s="299"/>
    </row>
    <row r="115" spans="7:8">
      <c r="G115" s="299"/>
      <c r="H115" s="299"/>
    </row>
  </sheetData>
  <autoFilter ref="A1:BA100">
    <filterColumn colId="4"/>
  </autoFilter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103"/>
  <sheetViews>
    <sheetView workbookViewId="0">
      <pane xSplit="1" ySplit="1" topLeftCell="B53" activePane="bottomRight" state="frozen"/>
      <selection activeCell="J41" sqref="J41"/>
      <selection pane="topRight" activeCell="J41" sqref="J41"/>
      <selection pane="bottomLeft" activeCell="J41" sqref="J41"/>
      <selection pane="bottomRight" activeCell="J41" sqref="J41"/>
    </sheetView>
  </sheetViews>
  <sheetFormatPr defaultColWidth="9.140625" defaultRowHeight="11.25"/>
  <cols>
    <col min="1" max="1" width="9.7109375" style="182" bestFit="1" customWidth="1"/>
    <col min="2" max="2" width="20.140625" style="183" customWidth="1"/>
    <col min="3" max="3" width="13.28515625" style="183" customWidth="1"/>
    <col min="4" max="4" width="12" style="181" customWidth="1"/>
    <col min="5" max="5" width="11.5703125" style="181" customWidth="1"/>
    <col min="6" max="6" width="10.7109375" style="181" customWidth="1"/>
    <col min="7" max="7" width="10.42578125" style="168" customWidth="1"/>
    <col min="8" max="8" width="10" style="168" customWidth="1"/>
    <col min="9" max="9" width="8.5703125" style="187" bestFit="1" customWidth="1"/>
    <col min="10" max="10" width="13.7109375" style="168" bestFit="1" customWidth="1"/>
    <col min="11" max="16384" width="9.140625" style="169"/>
  </cols>
  <sheetData>
    <row r="1" spans="1:10">
      <c r="A1" s="161" t="s">
        <v>214</v>
      </c>
      <c r="B1" s="162" t="s">
        <v>215</v>
      </c>
      <c r="C1" s="162" t="s">
        <v>248</v>
      </c>
      <c r="D1" s="163" t="s">
        <v>246</v>
      </c>
      <c r="E1" s="164" t="s">
        <v>249</v>
      </c>
      <c r="F1" s="165" t="s">
        <v>247</v>
      </c>
      <c r="G1" s="166" t="s">
        <v>250</v>
      </c>
      <c r="H1" s="167" t="s">
        <v>216</v>
      </c>
      <c r="I1" s="187" t="s">
        <v>265</v>
      </c>
      <c r="J1" s="168" t="s">
        <v>266</v>
      </c>
    </row>
    <row r="2" spans="1:10">
      <c r="A2" s="170" t="s">
        <v>217</v>
      </c>
      <c r="B2" s="171">
        <v>192900</v>
      </c>
      <c r="C2" s="172">
        <v>31301.52</v>
      </c>
      <c r="D2" s="173">
        <f>+C2/12*7</f>
        <v>18259.22</v>
      </c>
      <c r="E2" s="171">
        <v>17881.14</v>
      </c>
      <c r="F2" s="165">
        <f>+E2/12*7</f>
        <v>10430.665000000001</v>
      </c>
      <c r="G2" s="174">
        <f>+C2+E2</f>
        <v>49182.66</v>
      </c>
      <c r="H2" s="174">
        <f>+D2+F2</f>
        <v>28689.885000000002</v>
      </c>
      <c r="I2" s="187" t="s">
        <v>274</v>
      </c>
      <c r="J2" s="168" t="s">
        <v>267</v>
      </c>
    </row>
    <row r="3" spans="1:10">
      <c r="A3" s="170" t="s">
        <v>218</v>
      </c>
      <c r="B3" s="171">
        <v>192900</v>
      </c>
      <c r="C3" s="172">
        <v>31301.52</v>
      </c>
      <c r="D3" s="173">
        <f t="shared" ref="D3:D32" si="0">+C3/12*7</f>
        <v>18259.22</v>
      </c>
      <c r="E3" s="171">
        <v>17881.14</v>
      </c>
      <c r="F3" s="165">
        <f t="shared" ref="F3:F32" si="1">+E3/12*7</f>
        <v>10430.665000000001</v>
      </c>
      <c r="G3" s="174">
        <f t="shared" ref="G3:H18" si="2">+C3+E3</f>
        <v>49182.66</v>
      </c>
      <c r="H3" s="174">
        <f t="shared" si="2"/>
        <v>28689.885000000002</v>
      </c>
      <c r="I3" s="187" t="s">
        <v>274</v>
      </c>
      <c r="J3" s="168" t="s">
        <v>267</v>
      </c>
    </row>
    <row r="4" spans="1:10">
      <c r="A4" s="170" t="s">
        <v>219</v>
      </c>
      <c r="B4" s="171">
        <v>192900</v>
      </c>
      <c r="C4" s="172">
        <v>31301.52</v>
      </c>
      <c r="D4" s="173">
        <f t="shared" si="0"/>
        <v>18259.22</v>
      </c>
      <c r="E4" s="171">
        <v>17881.14</v>
      </c>
      <c r="F4" s="165">
        <f t="shared" si="1"/>
        <v>10430.665000000001</v>
      </c>
      <c r="G4" s="174">
        <f t="shared" si="2"/>
        <v>49182.66</v>
      </c>
      <c r="H4" s="174">
        <f t="shared" si="2"/>
        <v>28689.885000000002</v>
      </c>
      <c r="I4" s="187" t="s">
        <v>274</v>
      </c>
      <c r="J4" s="168" t="s">
        <v>267</v>
      </c>
    </row>
    <row r="5" spans="1:10">
      <c r="A5" s="170" t="s">
        <v>220</v>
      </c>
      <c r="B5" s="171">
        <v>192900</v>
      </c>
      <c r="C5" s="172">
        <v>31301.52</v>
      </c>
      <c r="D5" s="173">
        <f t="shared" si="0"/>
        <v>18259.22</v>
      </c>
      <c r="E5" s="171">
        <v>17881.14</v>
      </c>
      <c r="F5" s="165">
        <f t="shared" si="1"/>
        <v>10430.665000000001</v>
      </c>
      <c r="G5" s="174">
        <f t="shared" si="2"/>
        <v>49182.66</v>
      </c>
      <c r="H5" s="174">
        <f t="shared" si="2"/>
        <v>28689.885000000002</v>
      </c>
      <c r="I5" s="187" t="s">
        <v>274</v>
      </c>
      <c r="J5" s="168" t="s">
        <v>267</v>
      </c>
    </row>
    <row r="6" spans="1:10">
      <c r="A6" s="170" t="s">
        <v>221</v>
      </c>
      <c r="B6" s="171">
        <v>192900</v>
      </c>
      <c r="C6" s="172">
        <v>31301.52</v>
      </c>
      <c r="D6" s="173">
        <f t="shared" si="0"/>
        <v>18259.22</v>
      </c>
      <c r="E6" s="171">
        <v>17881.14</v>
      </c>
      <c r="F6" s="165">
        <f t="shared" si="1"/>
        <v>10430.665000000001</v>
      </c>
      <c r="G6" s="174">
        <f t="shared" si="2"/>
        <v>49182.66</v>
      </c>
      <c r="H6" s="174">
        <f t="shared" si="2"/>
        <v>28689.885000000002</v>
      </c>
      <c r="I6" s="187" t="s">
        <v>275</v>
      </c>
      <c r="J6" s="168" t="s">
        <v>268</v>
      </c>
    </row>
    <row r="7" spans="1:10">
      <c r="A7" s="170" t="s">
        <v>222</v>
      </c>
      <c r="B7" s="171">
        <v>192900</v>
      </c>
      <c r="C7" s="172">
        <v>31301.52</v>
      </c>
      <c r="D7" s="173">
        <f t="shared" si="0"/>
        <v>18259.22</v>
      </c>
      <c r="E7" s="171">
        <v>17881.14</v>
      </c>
      <c r="F7" s="165">
        <f t="shared" si="1"/>
        <v>10430.665000000001</v>
      </c>
      <c r="G7" s="174">
        <f t="shared" si="2"/>
        <v>49182.66</v>
      </c>
      <c r="H7" s="174">
        <f t="shared" si="2"/>
        <v>28689.885000000002</v>
      </c>
      <c r="I7" s="187" t="s">
        <v>23</v>
      </c>
      <c r="J7" s="168" t="s">
        <v>267</v>
      </c>
    </row>
    <row r="8" spans="1:10">
      <c r="A8" s="170" t="s">
        <v>223</v>
      </c>
      <c r="B8" s="171">
        <v>192900</v>
      </c>
      <c r="C8" s="172">
        <v>31301.52</v>
      </c>
      <c r="D8" s="173">
        <f t="shared" si="0"/>
        <v>18259.22</v>
      </c>
      <c r="E8" s="171">
        <v>17881.14</v>
      </c>
      <c r="F8" s="165">
        <f t="shared" si="1"/>
        <v>10430.665000000001</v>
      </c>
      <c r="G8" s="174">
        <f t="shared" si="2"/>
        <v>49182.66</v>
      </c>
      <c r="H8" s="174">
        <f t="shared" si="2"/>
        <v>28689.885000000002</v>
      </c>
      <c r="I8" s="187" t="s">
        <v>23</v>
      </c>
      <c r="J8" s="168" t="s">
        <v>267</v>
      </c>
    </row>
    <row r="9" spans="1:10">
      <c r="A9" s="170" t="s">
        <v>224</v>
      </c>
      <c r="B9" s="171">
        <v>192900</v>
      </c>
      <c r="C9" s="172">
        <v>31301.52</v>
      </c>
      <c r="D9" s="173">
        <f t="shared" si="0"/>
        <v>18259.22</v>
      </c>
      <c r="E9" s="171">
        <v>17881.14</v>
      </c>
      <c r="F9" s="165">
        <f t="shared" si="1"/>
        <v>10430.665000000001</v>
      </c>
      <c r="G9" s="174">
        <f t="shared" si="2"/>
        <v>49182.66</v>
      </c>
      <c r="H9" s="174">
        <f t="shared" si="2"/>
        <v>28689.885000000002</v>
      </c>
      <c r="I9" s="187" t="s">
        <v>23</v>
      </c>
      <c r="J9" s="168" t="s">
        <v>267</v>
      </c>
    </row>
    <row r="10" spans="1:10">
      <c r="A10" s="170" t="s">
        <v>225</v>
      </c>
      <c r="B10" s="171">
        <v>192900</v>
      </c>
      <c r="C10" s="172">
        <v>31301.52</v>
      </c>
      <c r="D10" s="173">
        <f t="shared" si="0"/>
        <v>18259.22</v>
      </c>
      <c r="E10" s="171">
        <v>17881.14</v>
      </c>
      <c r="F10" s="165">
        <f t="shared" si="1"/>
        <v>10430.665000000001</v>
      </c>
      <c r="G10" s="174">
        <f t="shared" si="2"/>
        <v>49182.66</v>
      </c>
      <c r="H10" s="174">
        <f t="shared" si="2"/>
        <v>28689.885000000002</v>
      </c>
      <c r="I10" s="187" t="s">
        <v>23</v>
      </c>
      <c r="J10" s="168" t="s">
        <v>267</v>
      </c>
    </row>
    <row r="11" spans="1:10">
      <c r="A11" s="170" t="s">
        <v>226</v>
      </c>
      <c r="B11" s="171">
        <v>192900</v>
      </c>
      <c r="C11" s="172">
        <v>31301.52</v>
      </c>
      <c r="D11" s="173">
        <f t="shared" si="0"/>
        <v>18259.22</v>
      </c>
      <c r="E11" s="171">
        <v>17881.14</v>
      </c>
      <c r="F11" s="165">
        <f t="shared" si="1"/>
        <v>10430.665000000001</v>
      </c>
      <c r="G11" s="174">
        <f t="shared" si="2"/>
        <v>49182.66</v>
      </c>
      <c r="H11" s="174">
        <f t="shared" si="2"/>
        <v>28689.885000000002</v>
      </c>
      <c r="I11" s="187" t="s">
        <v>23</v>
      </c>
      <c r="J11" s="168" t="s">
        <v>267</v>
      </c>
    </row>
    <row r="12" spans="1:10">
      <c r="A12" s="170" t="s">
        <v>227</v>
      </c>
      <c r="B12" s="171">
        <v>192900</v>
      </c>
      <c r="C12" s="172">
        <v>31301.52</v>
      </c>
      <c r="D12" s="173">
        <f t="shared" si="0"/>
        <v>18259.22</v>
      </c>
      <c r="E12" s="171">
        <v>17881.14</v>
      </c>
      <c r="F12" s="165">
        <f t="shared" si="1"/>
        <v>10430.665000000001</v>
      </c>
      <c r="G12" s="174">
        <f t="shared" si="2"/>
        <v>49182.66</v>
      </c>
      <c r="H12" s="174">
        <f t="shared" si="2"/>
        <v>28689.885000000002</v>
      </c>
      <c r="I12" s="187" t="s">
        <v>20</v>
      </c>
      <c r="J12" s="168" t="s">
        <v>267</v>
      </c>
    </row>
    <row r="13" spans="1:10">
      <c r="A13" s="170" t="s">
        <v>228</v>
      </c>
      <c r="B13" s="171">
        <v>192900</v>
      </c>
      <c r="C13" s="172">
        <v>31301.52</v>
      </c>
      <c r="D13" s="173">
        <f t="shared" si="0"/>
        <v>18259.22</v>
      </c>
      <c r="E13" s="171">
        <v>17881.14</v>
      </c>
      <c r="F13" s="165">
        <f t="shared" si="1"/>
        <v>10430.665000000001</v>
      </c>
      <c r="G13" s="174">
        <f t="shared" si="2"/>
        <v>49182.66</v>
      </c>
      <c r="H13" s="174">
        <f t="shared" si="2"/>
        <v>28689.885000000002</v>
      </c>
      <c r="I13" s="187" t="s">
        <v>274</v>
      </c>
      <c r="J13" s="168" t="s">
        <v>267</v>
      </c>
    </row>
    <row r="14" spans="1:10">
      <c r="A14" s="170" t="s">
        <v>229</v>
      </c>
      <c r="B14" s="171">
        <v>192900</v>
      </c>
      <c r="C14" s="172">
        <v>31301.52</v>
      </c>
      <c r="D14" s="173">
        <f t="shared" si="0"/>
        <v>18259.22</v>
      </c>
      <c r="E14" s="171">
        <v>17881.14</v>
      </c>
      <c r="F14" s="165">
        <f t="shared" si="1"/>
        <v>10430.665000000001</v>
      </c>
      <c r="G14" s="174">
        <f t="shared" si="2"/>
        <v>49182.66</v>
      </c>
      <c r="H14" s="174">
        <f t="shared" si="2"/>
        <v>28689.885000000002</v>
      </c>
      <c r="I14" s="187" t="s">
        <v>275</v>
      </c>
      <c r="J14" s="168" t="s">
        <v>268</v>
      </c>
    </row>
    <row r="15" spans="1:10">
      <c r="A15" s="170" t="s">
        <v>230</v>
      </c>
      <c r="B15" s="171">
        <v>192900</v>
      </c>
      <c r="C15" s="172">
        <v>31301.52</v>
      </c>
      <c r="D15" s="173">
        <f t="shared" si="0"/>
        <v>18259.22</v>
      </c>
      <c r="E15" s="171">
        <v>17881.14</v>
      </c>
      <c r="F15" s="165">
        <f t="shared" si="1"/>
        <v>10430.665000000001</v>
      </c>
      <c r="G15" s="174">
        <f t="shared" si="2"/>
        <v>49182.66</v>
      </c>
      <c r="H15" s="174">
        <f t="shared" si="2"/>
        <v>28689.885000000002</v>
      </c>
      <c r="I15" s="187" t="s">
        <v>51</v>
      </c>
      <c r="J15" s="168" t="s">
        <v>267</v>
      </c>
    </row>
    <row r="16" spans="1:10">
      <c r="A16" s="170" t="s">
        <v>231</v>
      </c>
      <c r="B16" s="171">
        <v>180400</v>
      </c>
      <c r="C16" s="171">
        <v>29273.17</v>
      </c>
      <c r="D16" s="173">
        <f t="shared" si="0"/>
        <v>17076.015833333335</v>
      </c>
      <c r="E16" s="171">
        <v>16722.43</v>
      </c>
      <c r="F16" s="165">
        <f t="shared" si="1"/>
        <v>9754.7508333333335</v>
      </c>
      <c r="G16" s="174">
        <f t="shared" si="2"/>
        <v>45995.6</v>
      </c>
      <c r="H16" s="174">
        <f t="shared" si="2"/>
        <v>26830.76666666667</v>
      </c>
      <c r="I16" s="187" t="s">
        <v>20</v>
      </c>
      <c r="J16" s="168" t="s">
        <v>146</v>
      </c>
    </row>
    <row r="17" spans="1:10">
      <c r="A17" s="170" t="s">
        <v>232</v>
      </c>
      <c r="B17" s="171">
        <v>282200</v>
      </c>
      <c r="C17" s="171">
        <v>45792.06</v>
      </c>
      <c r="D17" s="173">
        <f t="shared" si="0"/>
        <v>26712.034999999996</v>
      </c>
      <c r="E17" s="171">
        <v>26158.93</v>
      </c>
      <c r="F17" s="165">
        <f t="shared" si="1"/>
        <v>15259.375833333334</v>
      </c>
      <c r="G17" s="174">
        <f t="shared" si="2"/>
        <v>71950.989999999991</v>
      </c>
      <c r="H17" s="174">
        <f t="shared" si="2"/>
        <v>41971.410833333328</v>
      </c>
      <c r="I17" s="187" t="s">
        <v>276</v>
      </c>
      <c r="J17" s="168" t="s">
        <v>269</v>
      </c>
    </row>
    <row r="18" spans="1:10">
      <c r="A18" s="170" t="s">
        <v>233</v>
      </c>
      <c r="B18" s="171">
        <v>282200</v>
      </c>
      <c r="C18" s="171">
        <v>45792.06</v>
      </c>
      <c r="D18" s="173">
        <f t="shared" si="0"/>
        <v>26712.034999999996</v>
      </c>
      <c r="E18" s="171">
        <v>26158.93</v>
      </c>
      <c r="F18" s="165">
        <f t="shared" si="1"/>
        <v>15259.375833333334</v>
      </c>
      <c r="G18" s="174">
        <f t="shared" si="2"/>
        <v>71950.989999999991</v>
      </c>
      <c r="H18" s="174">
        <f t="shared" si="2"/>
        <v>41971.410833333328</v>
      </c>
      <c r="I18" s="187" t="s">
        <v>276</v>
      </c>
      <c r="J18" s="168" t="s">
        <v>269</v>
      </c>
    </row>
    <row r="19" spans="1:10">
      <c r="A19" s="170" t="s">
        <v>234</v>
      </c>
      <c r="B19" s="171">
        <v>282200</v>
      </c>
      <c r="C19" s="171">
        <v>45792.06</v>
      </c>
      <c r="D19" s="173">
        <f t="shared" si="0"/>
        <v>26712.034999999996</v>
      </c>
      <c r="E19" s="171">
        <v>26158.93</v>
      </c>
      <c r="F19" s="165">
        <f t="shared" si="1"/>
        <v>15259.375833333334</v>
      </c>
      <c r="G19" s="174">
        <f t="shared" ref="G19:H30" si="3">+C19+E19</f>
        <v>71950.989999999991</v>
      </c>
      <c r="H19" s="174">
        <f t="shared" si="3"/>
        <v>41971.410833333328</v>
      </c>
      <c r="I19" s="187" t="s">
        <v>276</v>
      </c>
      <c r="J19" s="168" t="s">
        <v>269</v>
      </c>
    </row>
    <row r="20" spans="1:10">
      <c r="A20" s="170" t="s">
        <v>235</v>
      </c>
      <c r="B20" s="171">
        <v>282200</v>
      </c>
      <c r="C20" s="171">
        <v>45792.06</v>
      </c>
      <c r="D20" s="173">
        <f t="shared" si="0"/>
        <v>26712.034999999996</v>
      </c>
      <c r="E20" s="171">
        <v>26158.93</v>
      </c>
      <c r="F20" s="165">
        <f t="shared" si="1"/>
        <v>15259.375833333334</v>
      </c>
      <c r="G20" s="174">
        <f t="shared" si="3"/>
        <v>71950.989999999991</v>
      </c>
      <c r="H20" s="174">
        <f t="shared" si="3"/>
        <v>41971.410833333328</v>
      </c>
      <c r="I20" s="187" t="s">
        <v>276</v>
      </c>
      <c r="J20" s="168" t="s">
        <v>269</v>
      </c>
    </row>
    <row r="21" spans="1:10">
      <c r="A21" s="170" t="s">
        <v>236</v>
      </c>
      <c r="B21" s="171">
        <v>282200</v>
      </c>
      <c r="C21" s="171">
        <v>45792.06</v>
      </c>
      <c r="D21" s="173">
        <f t="shared" si="0"/>
        <v>26712.034999999996</v>
      </c>
      <c r="E21" s="171">
        <v>26158.93</v>
      </c>
      <c r="F21" s="165">
        <f t="shared" si="1"/>
        <v>15259.375833333334</v>
      </c>
      <c r="G21" s="174">
        <f t="shared" si="3"/>
        <v>71950.989999999991</v>
      </c>
      <c r="H21" s="174">
        <f t="shared" si="3"/>
        <v>41971.410833333328</v>
      </c>
      <c r="I21" s="187" t="s">
        <v>276</v>
      </c>
      <c r="J21" s="168" t="s">
        <v>269</v>
      </c>
    </row>
    <row r="22" spans="1:10">
      <c r="A22" s="170" t="s">
        <v>237</v>
      </c>
      <c r="B22" s="171">
        <v>282200</v>
      </c>
      <c r="C22" s="171">
        <v>45792.06</v>
      </c>
      <c r="D22" s="173">
        <f t="shared" si="0"/>
        <v>26712.034999999996</v>
      </c>
      <c r="E22" s="171">
        <v>26158.93</v>
      </c>
      <c r="F22" s="165">
        <f t="shared" si="1"/>
        <v>15259.375833333334</v>
      </c>
      <c r="G22" s="174">
        <f t="shared" si="3"/>
        <v>71950.989999999991</v>
      </c>
      <c r="H22" s="174">
        <f t="shared" si="3"/>
        <v>41971.410833333328</v>
      </c>
      <c r="I22" s="187" t="s">
        <v>276</v>
      </c>
      <c r="J22" s="168" t="s">
        <v>269</v>
      </c>
    </row>
    <row r="23" spans="1:10">
      <c r="A23" s="170" t="s">
        <v>238</v>
      </c>
      <c r="B23" s="171">
        <v>282200</v>
      </c>
      <c r="C23" s="171">
        <v>45792.06</v>
      </c>
      <c r="D23" s="173">
        <f t="shared" si="0"/>
        <v>26712.034999999996</v>
      </c>
      <c r="E23" s="171">
        <v>26158.93</v>
      </c>
      <c r="F23" s="165">
        <f t="shared" si="1"/>
        <v>15259.375833333334</v>
      </c>
      <c r="G23" s="174">
        <f t="shared" si="3"/>
        <v>71950.989999999991</v>
      </c>
      <c r="H23" s="174">
        <f t="shared" si="3"/>
        <v>41971.410833333328</v>
      </c>
      <c r="I23" s="187" t="s">
        <v>276</v>
      </c>
      <c r="J23" s="168" t="s">
        <v>269</v>
      </c>
    </row>
    <row r="24" spans="1:10">
      <c r="A24" s="170" t="s">
        <v>239</v>
      </c>
      <c r="B24" s="171">
        <v>282200</v>
      </c>
      <c r="C24" s="171">
        <v>45792.06</v>
      </c>
      <c r="D24" s="173">
        <f t="shared" si="0"/>
        <v>26712.034999999996</v>
      </c>
      <c r="E24" s="171">
        <v>26158.93</v>
      </c>
      <c r="F24" s="165">
        <f t="shared" si="1"/>
        <v>15259.375833333334</v>
      </c>
      <c r="G24" s="174">
        <f t="shared" si="3"/>
        <v>71950.989999999991</v>
      </c>
      <c r="H24" s="174">
        <f t="shared" si="3"/>
        <v>41971.410833333328</v>
      </c>
      <c r="I24" s="187" t="s">
        <v>276</v>
      </c>
      <c r="J24" s="168" t="s">
        <v>269</v>
      </c>
    </row>
    <row r="25" spans="1:10">
      <c r="A25" s="170" t="s">
        <v>240</v>
      </c>
      <c r="B25" s="171">
        <v>282200</v>
      </c>
      <c r="C25" s="171">
        <v>45792.06</v>
      </c>
      <c r="D25" s="173">
        <f t="shared" si="0"/>
        <v>26712.034999999996</v>
      </c>
      <c r="E25" s="171">
        <v>26158.93</v>
      </c>
      <c r="F25" s="165">
        <f t="shared" si="1"/>
        <v>15259.375833333334</v>
      </c>
      <c r="G25" s="174">
        <f t="shared" si="3"/>
        <v>71950.989999999991</v>
      </c>
      <c r="H25" s="174">
        <f t="shared" si="3"/>
        <v>41971.410833333328</v>
      </c>
      <c r="I25" s="187" t="s">
        <v>276</v>
      </c>
      <c r="J25" s="168" t="s">
        <v>269</v>
      </c>
    </row>
    <row r="26" spans="1:10">
      <c r="A26" s="170" t="s">
        <v>241</v>
      </c>
      <c r="B26" s="171">
        <v>440900</v>
      </c>
      <c r="C26" s="171">
        <v>71544.009999999995</v>
      </c>
      <c r="D26" s="173">
        <f t="shared" si="0"/>
        <v>41734.005833333329</v>
      </c>
      <c r="E26" s="171">
        <v>40869.85</v>
      </c>
      <c r="F26" s="165">
        <f t="shared" si="1"/>
        <v>23840.745833333334</v>
      </c>
      <c r="G26" s="174">
        <f t="shared" si="3"/>
        <v>112413.85999999999</v>
      </c>
      <c r="H26" s="174">
        <f t="shared" si="3"/>
        <v>65574.751666666663</v>
      </c>
      <c r="I26" s="187" t="s">
        <v>275</v>
      </c>
      <c r="J26" s="168" t="s">
        <v>270</v>
      </c>
    </row>
    <row r="27" spans="1:10">
      <c r="A27" s="170" t="s">
        <v>242</v>
      </c>
      <c r="B27" s="171">
        <v>440900</v>
      </c>
      <c r="C27" s="171">
        <v>71544.009999999995</v>
      </c>
      <c r="D27" s="173">
        <f t="shared" si="0"/>
        <v>41734.005833333329</v>
      </c>
      <c r="E27" s="171">
        <v>40869.85</v>
      </c>
      <c r="F27" s="165">
        <f t="shared" si="1"/>
        <v>23840.745833333334</v>
      </c>
      <c r="G27" s="174">
        <f t="shared" si="3"/>
        <v>112413.85999999999</v>
      </c>
      <c r="H27" s="174">
        <f t="shared" si="3"/>
        <v>65574.751666666663</v>
      </c>
      <c r="I27" s="187" t="s">
        <v>274</v>
      </c>
      <c r="J27" s="168" t="s">
        <v>270</v>
      </c>
    </row>
    <row r="28" spans="1:10">
      <c r="A28" s="170" t="s">
        <v>243</v>
      </c>
      <c r="B28" s="171">
        <v>440900</v>
      </c>
      <c r="C28" s="171">
        <v>71544.009999999995</v>
      </c>
      <c r="D28" s="173">
        <f t="shared" si="0"/>
        <v>41734.005833333329</v>
      </c>
      <c r="E28" s="171">
        <v>40869.85</v>
      </c>
      <c r="F28" s="165">
        <f t="shared" si="1"/>
        <v>23840.745833333334</v>
      </c>
      <c r="G28" s="174">
        <f t="shared" si="3"/>
        <v>112413.85999999999</v>
      </c>
      <c r="H28" s="174">
        <f t="shared" si="3"/>
        <v>65574.751666666663</v>
      </c>
      <c r="I28" s="187" t="s">
        <v>274</v>
      </c>
      <c r="J28" s="168" t="s">
        <v>270</v>
      </c>
    </row>
    <row r="29" spans="1:10">
      <c r="A29" s="170" t="s">
        <v>244</v>
      </c>
      <c r="B29" s="171">
        <v>520200</v>
      </c>
      <c r="C29" s="171">
        <v>84411.88</v>
      </c>
      <c r="D29" s="173">
        <f t="shared" si="0"/>
        <v>49240.263333333336</v>
      </c>
      <c r="E29" s="171">
        <v>48220.68</v>
      </c>
      <c r="F29" s="165">
        <f t="shared" si="1"/>
        <v>28128.73</v>
      </c>
      <c r="G29" s="174">
        <f t="shared" si="3"/>
        <v>132632.56</v>
      </c>
      <c r="H29" s="174">
        <f t="shared" si="3"/>
        <v>77368.993333333332</v>
      </c>
      <c r="I29" s="187" t="s">
        <v>23</v>
      </c>
      <c r="J29" s="168" t="s">
        <v>271</v>
      </c>
    </row>
    <row r="30" spans="1:10">
      <c r="A30" s="175">
        <v>298</v>
      </c>
      <c r="B30" s="171">
        <v>1272793</v>
      </c>
      <c r="C30" s="171">
        <v>206533.73</v>
      </c>
      <c r="D30" s="173">
        <f t="shared" si="0"/>
        <v>120478.00916666668</v>
      </c>
      <c r="E30" s="171">
        <v>117983.35</v>
      </c>
      <c r="F30" s="165">
        <f t="shared" si="1"/>
        <v>68823.620833333334</v>
      </c>
      <c r="G30" s="174">
        <f t="shared" si="3"/>
        <v>324517.08</v>
      </c>
      <c r="H30" s="174">
        <f t="shared" si="3"/>
        <v>189301.63</v>
      </c>
      <c r="I30" s="187" t="s">
        <v>274</v>
      </c>
      <c r="J30" s="168" t="s">
        <v>272</v>
      </c>
    </row>
    <row r="31" spans="1:10">
      <c r="A31" s="175">
        <v>292</v>
      </c>
      <c r="B31" s="171">
        <v>282200</v>
      </c>
      <c r="C31" s="171">
        <v>45792.06</v>
      </c>
      <c r="D31" s="173">
        <f t="shared" si="0"/>
        <v>26712.034999999996</v>
      </c>
      <c r="E31" s="171">
        <v>26158.93</v>
      </c>
      <c r="F31" s="165">
        <f t="shared" si="1"/>
        <v>15259.375833333334</v>
      </c>
      <c r="G31" s="174">
        <f>+C31+E31</f>
        <v>71950.989999999991</v>
      </c>
      <c r="H31" s="174">
        <f>+D31+F31</f>
        <v>41971.410833333328</v>
      </c>
      <c r="I31" s="187" t="s">
        <v>20</v>
      </c>
      <c r="J31" s="168" t="s">
        <v>273</v>
      </c>
    </row>
    <row r="32" spans="1:10">
      <c r="A32" s="175">
        <v>293</v>
      </c>
      <c r="B32" s="171">
        <v>282200</v>
      </c>
      <c r="C32" s="171">
        <v>45792.06</v>
      </c>
      <c r="D32" s="173">
        <f t="shared" si="0"/>
        <v>26712.034999999996</v>
      </c>
      <c r="E32" s="171">
        <v>26158.93</v>
      </c>
      <c r="F32" s="165">
        <f t="shared" si="1"/>
        <v>15259.375833333334</v>
      </c>
      <c r="G32" s="174">
        <f>+C32+E32</f>
        <v>71950.989999999991</v>
      </c>
      <c r="H32" s="174">
        <f>+D32+F32</f>
        <v>41971.410833333328</v>
      </c>
      <c r="I32" s="187" t="s">
        <v>20</v>
      </c>
      <c r="J32" s="168" t="s">
        <v>273</v>
      </c>
    </row>
    <row r="33" spans="1:9">
      <c r="A33" s="176">
        <v>15</v>
      </c>
      <c r="B33" s="177">
        <v>282200</v>
      </c>
      <c r="C33" s="163">
        <v>45792.06</v>
      </c>
      <c r="D33" s="177"/>
      <c r="E33" s="163">
        <v>26158.93</v>
      </c>
      <c r="F33" s="178"/>
      <c r="G33" s="174">
        <f t="shared" ref="G33:G93" si="4">+C33+E33</f>
        <v>71950.989999999991</v>
      </c>
      <c r="H33" s="174">
        <f t="shared" ref="H33:H93" si="5">+D33+F33</f>
        <v>0</v>
      </c>
      <c r="I33" s="187" t="s">
        <v>51</v>
      </c>
    </row>
    <row r="34" spans="1:9">
      <c r="A34" s="176">
        <v>32</v>
      </c>
      <c r="B34" s="177">
        <v>282200</v>
      </c>
      <c r="C34" s="163">
        <v>45792.06</v>
      </c>
      <c r="D34" s="177"/>
      <c r="E34" s="163">
        <v>26158.93</v>
      </c>
      <c r="F34" s="178"/>
      <c r="G34" s="174">
        <f t="shared" si="4"/>
        <v>71950.989999999991</v>
      </c>
      <c r="H34" s="174">
        <f t="shared" si="5"/>
        <v>0</v>
      </c>
      <c r="I34" s="187" t="s">
        <v>274</v>
      </c>
    </row>
    <row r="35" spans="1:9">
      <c r="A35" s="176">
        <v>44</v>
      </c>
      <c r="B35" s="177">
        <v>440900</v>
      </c>
      <c r="C35" s="163">
        <v>71544.009999999995</v>
      </c>
      <c r="D35" s="177"/>
      <c r="E35" s="163">
        <v>40869.85</v>
      </c>
      <c r="F35" s="178"/>
      <c r="G35" s="174">
        <f t="shared" si="4"/>
        <v>112413.85999999999</v>
      </c>
      <c r="H35" s="174">
        <f t="shared" si="5"/>
        <v>0</v>
      </c>
      <c r="I35" s="187" t="s">
        <v>276</v>
      </c>
    </row>
    <row r="36" spans="1:9">
      <c r="A36" s="176">
        <v>45</v>
      </c>
      <c r="B36" s="177">
        <v>440900</v>
      </c>
      <c r="C36" s="163">
        <v>71544.009999999995</v>
      </c>
      <c r="D36" s="177"/>
      <c r="E36" s="163">
        <v>40869.85</v>
      </c>
      <c r="F36" s="178"/>
      <c r="G36" s="174">
        <f t="shared" si="4"/>
        <v>112413.85999999999</v>
      </c>
      <c r="H36" s="174">
        <f t="shared" si="5"/>
        <v>0</v>
      </c>
      <c r="I36" s="187" t="s">
        <v>276</v>
      </c>
    </row>
    <row r="37" spans="1:9">
      <c r="A37" s="176">
        <v>46</v>
      </c>
      <c r="B37" s="177">
        <v>440900</v>
      </c>
      <c r="C37" s="163">
        <v>71544.009999999995</v>
      </c>
      <c r="D37" s="177"/>
      <c r="E37" s="163">
        <v>40869.85</v>
      </c>
      <c r="F37" s="178"/>
      <c r="G37" s="174">
        <f t="shared" si="4"/>
        <v>112413.85999999999</v>
      </c>
      <c r="H37" s="174">
        <f t="shared" si="5"/>
        <v>0</v>
      </c>
      <c r="I37" s="187" t="s">
        <v>274</v>
      </c>
    </row>
    <row r="38" spans="1:9">
      <c r="A38" s="176">
        <v>47</v>
      </c>
      <c r="B38" s="177">
        <v>440900</v>
      </c>
      <c r="C38" s="163">
        <v>71544.009999999995</v>
      </c>
      <c r="D38" s="177"/>
      <c r="E38" s="163">
        <v>40869.85</v>
      </c>
      <c r="F38" s="178"/>
      <c r="G38" s="174">
        <f t="shared" si="4"/>
        <v>112413.85999999999</v>
      </c>
      <c r="H38" s="174">
        <f t="shared" si="5"/>
        <v>0</v>
      </c>
      <c r="I38" s="187" t="s">
        <v>276</v>
      </c>
    </row>
    <row r="39" spans="1:9">
      <c r="A39" s="176">
        <v>48</v>
      </c>
      <c r="B39" s="177">
        <v>440900</v>
      </c>
      <c r="C39" s="163">
        <v>71544.009999999995</v>
      </c>
      <c r="D39" s="177"/>
      <c r="E39" s="163">
        <v>40869.85</v>
      </c>
      <c r="F39" s="178"/>
      <c r="G39" s="174">
        <f t="shared" si="4"/>
        <v>112413.85999999999</v>
      </c>
      <c r="H39" s="174">
        <f t="shared" si="5"/>
        <v>0</v>
      </c>
      <c r="I39" s="187" t="s">
        <v>276</v>
      </c>
    </row>
    <row r="40" spans="1:9">
      <c r="A40" s="176">
        <v>49</v>
      </c>
      <c r="B40" s="177">
        <v>440900</v>
      </c>
      <c r="C40" s="163">
        <v>71544.009999999995</v>
      </c>
      <c r="D40" s="177"/>
      <c r="E40" s="163">
        <v>40869.85</v>
      </c>
      <c r="F40" s="178"/>
      <c r="G40" s="174">
        <f t="shared" si="4"/>
        <v>112413.85999999999</v>
      </c>
      <c r="H40" s="174">
        <f t="shared" si="5"/>
        <v>0</v>
      </c>
      <c r="I40" s="187" t="s">
        <v>276</v>
      </c>
    </row>
    <row r="41" spans="1:9">
      <c r="A41" s="176">
        <v>50</v>
      </c>
      <c r="B41" s="177">
        <v>1343376</v>
      </c>
      <c r="C41" s="163">
        <v>217987.1</v>
      </c>
      <c r="D41" s="177"/>
      <c r="E41" s="163">
        <v>124526.14</v>
      </c>
      <c r="F41" s="178"/>
      <c r="G41" s="174">
        <f t="shared" si="4"/>
        <v>342513.24</v>
      </c>
      <c r="H41" s="174">
        <f t="shared" si="5"/>
        <v>0</v>
      </c>
      <c r="I41" s="187" t="s">
        <v>276</v>
      </c>
    </row>
    <row r="42" spans="1:9">
      <c r="A42" s="176">
        <v>51</v>
      </c>
      <c r="B42" s="177">
        <v>440900</v>
      </c>
      <c r="C42" s="163">
        <v>71544.009999999995</v>
      </c>
      <c r="D42" s="177"/>
      <c r="E42" s="163">
        <v>40869.85</v>
      </c>
      <c r="F42" s="178"/>
      <c r="G42" s="174">
        <f t="shared" si="4"/>
        <v>112413.85999999999</v>
      </c>
      <c r="H42" s="174">
        <f t="shared" si="5"/>
        <v>0</v>
      </c>
      <c r="I42" s="187" t="s">
        <v>276</v>
      </c>
    </row>
    <row r="43" spans="1:9">
      <c r="A43" s="176">
        <v>52</v>
      </c>
      <c r="B43" s="177">
        <v>540200</v>
      </c>
      <c r="C43" s="163">
        <v>87657.24</v>
      </c>
      <c r="D43" s="177"/>
      <c r="E43" s="163">
        <v>50074.6</v>
      </c>
      <c r="F43" s="178"/>
      <c r="G43" s="174">
        <f t="shared" si="4"/>
        <v>137731.84</v>
      </c>
      <c r="H43" s="174">
        <f t="shared" si="5"/>
        <v>0</v>
      </c>
      <c r="I43" s="187" t="s">
        <v>276</v>
      </c>
    </row>
    <row r="44" spans="1:9">
      <c r="A44" s="176">
        <v>53</v>
      </c>
      <c r="B44" s="177">
        <v>540200</v>
      </c>
      <c r="C44" s="163">
        <v>87657.24</v>
      </c>
      <c r="D44" s="177"/>
      <c r="E44" s="163">
        <v>50074.6</v>
      </c>
      <c r="F44" s="178"/>
      <c r="G44" s="174">
        <f t="shared" si="4"/>
        <v>137731.84</v>
      </c>
      <c r="H44" s="174">
        <f t="shared" si="5"/>
        <v>0</v>
      </c>
      <c r="I44" s="187" t="s">
        <v>276</v>
      </c>
    </row>
    <row r="45" spans="1:9">
      <c r="A45" s="176">
        <v>55</v>
      </c>
      <c r="B45" s="177">
        <v>440900</v>
      </c>
      <c r="C45" s="163">
        <v>71544.009999999995</v>
      </c>
      <c r="D45" s="177"/>
      <c r="E45" s="163">
        <v>40869.85</v>
      </c>
      <c r="F45" s="178"/>
      <c r="G45" s="174">
        <f t="shared" si="4"/>
        <v>112413.85999999999</v>
      </c>
      <c r="H45" s="174">
        <f t="shared" si="5"/>
        <v>0</v>
      </c>
      <c r="I45" s="187" t="s">
        <v>276</v>
      </c>
    </row>
    <row r="46" spans="1:9">
      <c r="A46" s="176">
        <v>72</v>
      </c>
      <c r="B46" s="177">
        <v>440900</v>
      </c>
      <c r="C46" s="163">
        <v>71544.009999999995</v>
      </c>
      <c r="D46" s="177"/>
      <c r="E46" s="163">
        <v>40869.85</v>
      </c>
      <c r="F46" s="178"/>
      <c r="G46" s="174">
        <f t="shared" si="4"/>
        <v>112413.85999999999</v>
      </c>
      <c r="H46" s="174">
        <f t="shared" si="5"/>
        <v>0</v>
      </c>
      <c r="I46" s="187" t="s">
        <v>23</v>
      </c>
    </row>
    <row r="47" spans="1:9">
      <c r="A47" s="176">
        <v>73</v>
      </c>
      <c r="B47" s="177">
        <v>440900</v>
      </c>
      <c r="C47" s="163">
        <v>71544.009999999995</v>
      </c>
      <c r="D47" s="177"/>
      <c r="E47" s="163">
        <v>40869.85</v>
      </c>
      <c r="F47" s="178"/>
      <c r="G47" s="174">
        <f t="shared" si="4"/>
        <v>112413.85999999999</v>
      </c>
      <c r="H47" s="174">
        <f t="shared" si="5"/>
        <v>0</v>
      </c>
      <c r="I47" s="187" t="s">
        <v>274</v>
      </c>
    </row>
    <row r="48" spans="1:9">
      <c r="A48" s="176">
        <v>74</v>
      </c>
      <c r="B48" s="177">
        <v>440900</v>
      </c>
      <c r="C48" s="163">
        <v>71544.009999999995</v>
      </c>
      <c r="D48" s="177"/>
      <c r="E48" s="163">
        <v>40869.85</v>
      </c>
      <c r="F48" s="178"/>
      <c r="G48" s="174">
        <f t="shared" si="4"/>
        <v>112413.85999999999</v>
      </c>
      <c r="H48" s="174">
        <f t="shared" si="5"/>
        <v>0</v>
      </c>
      <c r="I48" s="187" t="s">
        <v>23</v>
      </c>
    </row>
    <row r="49" spans="1:9">
      <c r="A49" s="176">
        <v>75</v>
      </c>
      <c r="B49" s="177">
        <v>440900</v>
      </c>
      <c r="C49" s="163">
        <v>71544.009999999995</v>
      </c>
      <c r="D49" s="177"/>
      <c r="E49" s="163">
        <v>40869.85</v>
      </c>
      <c r="F49" s="178"/>
      <c r="G49" s="174">
        <f t="shared" si="4"/>
        <v>112413.85999999999</v>
      </c>
      <c r="H49" s="174">
        <f t="shared" si="5"/>
        <v>0</v>
      </c>
      <c r="I49" s="187" t="s">
        <v>275</v>
      </c>
    </row>
    <row r="50" spans="1:9">
      <c r="A50" s="176">
        <v>115</v>
      </c>
      <c r="B50" s="177">
        <v>480900</v>
      </c>
      <c r="C50" s="163">
        <v>78034.740000000005</v>
      </c>
      <c r="D50" s="177"/>
      <c r="E50" s="163">
        <v>44577.71</v>
      </c>
      <c r="F50" s="178"/>
      <c r="G50" s="174">
        <f t="shared" si="4"/>
        <v>122612.45000000001</v>
      </c>
      <c r="H50" s="174">
        <f t="shared" si="5"/>
        <v>0</v>
      </c>
      <c r="I50" s="187" t="s">
        <v>23</v>
      </c>
    </row>
    <row r="51" spans="1:9">
      <c r="A51" s="176">
        <v>116</v>
      </c>
      <c r="B51" s="177">
        <v>440900</v>
      </c>
      <c r="C51" s="163">
        <v>71544.009999999995</v>
      </c>
      <c r="D51" s="177"/>
      <c r="E51" s="163">
        <v>40869.85</v>
      </c>
      <c r="F51" s="178"/>
      <c r="G51" s="174">
        <f t="shared" si="4"/>
        <v>112413.85999999999</v>
      </c>
      <c r="H51" s="174">
        <f t="shared" si="5"/>
        <v>0</v>
      </c>
      <c r="I51" s="187" t="s">
        <v>274</v>
      </c>
    </row>
    <row r="52" spans="1:9">
      <c r="A52" s="176">
        <v>128</v>
      </c>
      <c r="B52" s="177">
        <v>440900</v>
      </c>
      <c r="C52" s="163">
        <v>71544.009999999995</v>
      </c>
      <c r="D52" s="177"/>
      <c r="E52" s="163">
        <v>40869.85</v>
      </c>
      <c r="F52" s="178"/>
      <c r="G52" s="174">
        <f t="shared" si="4"/>
        <v>112413.85999999999</v>
      </c>
      <c r="H52" s="174">
        <f t="shared" si="5"/>
        <v>0</v>
      </c>
      <c r="I52" s="187" t="s">
        <v>275</v>
      </c>
    </row>
    <row r="53" spans="1:9">
      <c r="A53" s="176">
        <v>129</v>
      </c>
      <c r="B53" s="177">
        <v>282200</v>
      </c>
      <c r="C53" s="163">
        <v>45792.06</v>
      </c>
      <c r="D53" s="177"/>
      <c r="E53" s="163">
        <v>26158.93</v>
      </c>
      <c r="F53" s="178"/>
      <c r="G53" s="174">
        <f t="shared" si="4"/>
        <v>71950.989999999991</v>
      </c>
      <c r="H53" s="174">
        <f t="shared" si="5"/>
        <v>0</v>
      </c>
      <c r="I53" s="187" t="s">
        <v>276</v>
      </c>
    </row>
    <row r="54" spans="1:9">
      <c r="A54" s="176">
        <v>131</v>
      </c>
      <c r="B54" s="177">
        <v>540200</v>
      </c>
      <c r="C54" s="163">
        <v>87657.24</v>
      </c>
      <c r="D54" s="177"/>
      <c r="E54" s="163">
        <v>50074.6</v>
      </c>
      <c r="F54" s="178"/>
      <c r="G54" s="174">
        <f t="shared" si="4"/>
        <v>137731.84</v>
      </c>
      <c r="H54" s="174">
        <f t="shared" si="5"/>
        <v>0</v>
      </c>
      <c r="I54" s="187" t="s">
        <v>275</v>
      </c>
    </row>
    <row r="55" spans="1:9">
      <c r="A55" s="176">
        <v>136</v>
      </c>
      <c r="B55" s="177">
        <v>180400</v>
      </c>
      <c r="C55" s="163">
        <v>29273.17</v>
      </c>
      <c r="D55" s="177"/>
      <c r="E55" s="163">
        <v>16722.43</v>
      </c>
      <c r="F55" s="178"/>
      <c r="G55" s="174">
        <f>+C55+E55</f>
        <v>45995.6</v>
      </c>
      <c r="H55" s="174">
        <f t="shared" si="5"/>
        <v>0</v>
      </c>
    </row>
    <row r="56" spans="1:9">
      <c r="A56" s="176">
        <v>137</v>
      </c>
      <c r="B56" s="177">
        <v>180400</v>
      </c>
      <c r="C56" s="163">
        <v>29273.17</v>
      </c>
      <c r="D56" s="177"/>
      <c r="E56" s="163">
        <v>16722.43</v>
      </c>
      <c r="F56" s="178"/>
      <c r="G56" s="174">
        <f t="shared" si="4"/>
        <v>45995.6</v>
      </c>
      <c r="H56" s="174">
        <f t="shared" si="5"/>
        <v>0</v>
      </c>
    </row>
    <row r="57" spans="1:9">
      <c r="A57" s="176">
        <v>138</v>
      </c>
      <c r="B57" s="177">
        <v>440900</v>
      </c>
      <c r="C57" s="163">
        <v>71544.009999999995</v>
      </c>
      <c r="D57" s="177"/>
      <c r="E57" s="163">
        <v>40869.85</v>
      </c>
      <c r="F57" s="178"/>
      <c r="G57" s="174">
        <f t="shared" si="4"/>
        <v>112413.85999999999</v>
      </c>
      <c r="H57" s="174">
        <f t="shared" si="5"/>
        <v>0</v>
      </c>
      <c r="I57" s="187" t="s">
        <v>275</v>
      </c>
    </row>
    <row r="58" spans="1:9">
      <c r="A58" s="176">
        <v>141</v>
      </c>
      <c r="B58" s="177">
        <v>192900</v>
      </c>
      <c r="C58" s="173">
        <v>31301.52</v>
      </c>
      <c r="D58" s="179"/>
      <c r="E58" s="163">
        <v>17881.14</v>
      </c>
      <c r="F58" s="178"/>
      <c r="G58" s="174">
        <f t="shared" si="4"/>
        <v>49182.66</v>
      </c>
      <c r="H58" s="174">
        <f t="shared" si="5"/>
        <v>0</v>
      </c>
    </row>
    <row r="59" spans="1:9">
      <c r="A59" s="176">
        <v>142</v>
      </c>
      <c r="B59" s="177">
        <v>192900</v>
      </c>
      <c r="C59" s="173">
        <v>31301.52</v>
      </c>
      <c r="D59" s="179"/>
      <c r="E59" s="163">
        <v>17881.14</v>
      </c>
      <c r="F59" s="178"/>
      <c r="G59" s="174">
        <f t="shared" si="4"/>
        <v>49182.66</v>
      </c>
      <c r="H59" s="174">
        <f t="shared" si="5"/>
        <v>0</v>
      </c>
      <c r="I59" s="187" t="s">
        <v>275</v>
      </c>
    </row>
    <row r="60" spans="1:9">
      <c r="A60" s="176">
        <v>143</v>
      </c>
      <c r="B60" s="177">
        <v>192900</v>
      </c>
      <c r="C60" s="173">
        <v>31301.52</v>
      </c>
      <c r="D60" s="179"/>
      <c r="E60" s="163">
        <v>17881.14</v>
      </c>
      <c r="F60" s="178"/>
      <c r="G60" s="174">
        <f t="shared" si="4"/>
        <v>49182.66</v>
      </c>
      <c r="H60" s="174">
        <f t="shared" si="5"/>
        <v>0</v>
      </c>
      <c r="I60" s="187" t="s">
        <v>275</v>
      </c>
    </row>
    <row r="61" spans="1:9">
      <c r="A61" s="176">
        <v>144</v>
      </c>
      <c r="B61" s="177">
        <v>192900</v>
      </c>
      <c r="C61" s="173">
        <v>31301.52</v>
      </c>
      <c r="D61" s="179"/>
      <c r="E61" s="163">
        <v>17881.14</v>
      </c>
      <c r="F61" s="178"/>
      <c r="G61" s="174">
        <f t="shared" si="4"/>
        <v>49182.66</v>
      </c>
      <c r="H61" s="174">
        <f t="shared" si="5"/>
        <v>0</v>
      </c>
      <c r="I61" s="187" t="s">
        <v>20</v>
      </c>
    </row>
    <row r="62" spans="1:9">
      <c r="A62" s="176">
        <v>145</v>
      </c>
      <c r="B62" s="177">
        <v>192900</v>
      </c>
      <c r="C62" s="173">
        <v>31301.52</v>
      </c>
      <c r="D62" s="179"/>
      <c r="E62" s="163">
        <v>17881.14</v>
      </c>
      <c r="F62" s="178"/>
      <c r="G62" s="174">
        <f t="shared" si="4"/>
        <v>49182.66</v>
      </c>
      <c r="H62" s="174">
        <f t="shared" si="5"/>
        <v>0</v>
      </c>
      <c r="I62" s="187" t="s">
        <v>20</v>
      </c>
    </row>
    <row r="63" spans="1:9">
      <c r="A63" s="176">
        <v>152</v>
      </c>
      <c r="B63" s="177">
        <v>282200</v>
      </c>
      <c r="C63" s="163">
        <v>45792.06</v>
      </c>
      <c r="D63" s="177"/>
      <c r="E63" s="163">
        <v>26158.93</v>
      </c>
      <c r="F63" s="178"/>
      <c r="G63" s="174">
        <f t="shared" si="4"/>
        <v>71950.989999999991</v>
      </c>
      <c r="H63" s="174">
        <f t="shared" si="5"/>
        <v>0</v>
      </c>
      <c r="I63" s="187" t="s">
        <v>23</v>
      </c>
    </row>
    <row r="64" spans="1:9">
      <c r="A64" s="176">
        <v>153</v>
      </c>
      <c r="B64" s="177">
        <v>282200</v>
      </c>
      <c r="C64" s="163">
        <v>45792.06</v>
      </c>
      <c r="D64" s="177"/>
      <c r="E64" s="163">
        <v>26158.93</v>
      </c>
      <c r="F64" s="178"/>
      <c r="G64" s="174">
        <f t="shared" si="4"/>
        <v>71950.989999999991</v>
      </c>
      <c r="H64" s="174">
        <f t="shared" si="5"/>
        <v>0</v>
      </c>
      <c r="I64" s="187" t="s">
        <v>23</v>
      </c>
    </row>
    <row r="65" spans="1:9">
      <c r="A65" s="176">
        <v>154</v>
      </c>
      <c r="B65" s="177">
        <v>282200</v>
      </c>
      <c r="C65" s="163">
        <v>45792.06</v>
      </c>
      <c r="D65" s="177"/>
      <c r="E65" s="163">
        <v>26158.93</v>
      </c>
      <c r="F65" s="178"/>
      <c r="G65" s="174">
        <f t="shared" si="4"/>
        <v>71950.989999999991</v>
      </c>
      <c r="H65" s="174">
        <f t="shared" si="5"/>
        <v>0</v>
      </c>
      <c r="I65" s="187" t="s">
        <v>23</v>
      </c>
    </row>
    <row r="66" spans="1:9">
      <c r="A66" s="176">
        <v>155</v>
      </c>
      <c r="B66" s="177">
        <v>440900</v>
      </c>
      <c r="C66" s="163">
        <v>71544.009999999995</v>
      </c>
      <c r="D66" s="177"/>
      <c r="E66" s="163">
        <v>40869.85</v>
      </c>
      <c r="F66" s="178"/>
      <c r="G66" s="174">
        <f t="shared" si="4"/>
        <v>112413.85999999999</v>
      </c>
      <c r="H66" s="174">
        <f t="shared" si="5"/>
        <v>0</v>
      </c>
      <c r="I66" s="187" t="s">
        <v>274</v>
      </c>
    </row>
    <row r="67" spans="1:9">
      <c r="A67" s="176">
        <v>156</v>
      </c>
      <c r="B67" s="177">
        <v>440900</v>
      </c>
      <c r="C67" s="163">
        <v>71544.009999999995</v>
      </c>
      <c r="D67" s="177"/>
      <c r="E67" s="163">
        <v>40869.85</v>
      </c>
      <c r="F67" s="178"/>
      <c r="G67" s="174">
        <f t="shared" si="4"/>
        <v>112413.85999999999</v>
      </c>
      <c r="H67" s="174">
        <f t="shared" si="5"/>
        <v>0</v>
      </c>
      <c r="I67" s="187" t="s">
        <v>274</v>
      </c>
    </row>
    <row r="68" spans="1:9">
      <c r="A68" s="176">
        <v>158</v>
      </c>
      <c r="B68" s="177">
        <v>192900</v>
      </c>
      <c r="C68" s="173">
        <v>31301.52</v>
      </c>
      <c r="D68" s="179"/>
      <c r="E68" s="163">
        <v>17881.14</v>
      </c>
      <c r="F68" s="178"/>
      <c r="G68" s="174">
        <f t="shared" si="4"/>
        <v>49182.66</v>
      </c>
      <c r="H68" s="174">
        <f t="shared" si="5"/>
        <v>0</v>
      </c>
      <c r="I68" s="187" t="s">
        <v>274</v>
      </c>
    </row>
    <row r="69" spans="1:9">
      <c r="A69" s="176">
        <v>159</v>
      </c>
      <c r="B69" s="177">
        <v>192900</v>
      </c>
      <c r="C69" s="173">
        <v>31301.52</v>
      </c>
      <c r="D69" s="179"/>
      <c r="E69" s="163">
        <v>17881.14</v>
      </c>
      <c r="F69" s="178"/>
      <c r="G69" s="174">
        <f t="shared" si="4"/>
        <v>49182.66</v>
      </c>
      <c r="H69" s="174">
        <f t="shared" si="5"/>
        <v>0</v>
      </c>
      <c r="I69" s="187" t="s">
        <v>23</v>
      </c>
    </row>
    <row r="70" spans="1:9">
      <c r="A70" s="176">
        <v>160</v>
      </c>
      <c r="B70" s="177">
        <v>192900</v>
      </c>
      <c r="C70" s="173">
        <v>31301.52</v>
      </c>
      <c r="D70" s="179"/>
      <c r="E70" s="163">
        <v>17881.14</v>
      </c>
      <c r="F70" s="178"/>
      <c r="G70" s="174">
        <f t="shared" si="4"/>
        <v>49182.66</v>
      </c>
      <c r="H70" s="174">
        <f t="shared" si="5"/>
        <v>0</v>
      </c>
      <c r="I70" s="187" t="s">
        <v>274</v>
      </c>
    </row>
    <row r="71" spans="1:9">
      <c r="A71" s="176">
        <v>161</v>
      </c>
      <c r="B71" s="177">
        <v>192900</v>
      </c>
      <c r="C71" s="173">
        <v>31301.52</v>
      </c>
      <c r="D71" s="179"/>
      <c r="E71" s="163">
        <v>17881.14</v>
      </c>
      <c r="F71" s="178"/>
      <c r="G71" s="174">
        <f t="shared" si="4"/>
        <v>49182.66</v>
      </c>
      <c r="H71" s="174">
        <f t="shared" si="5"/>
        <v>0</v>
      </c>
      <c r="I71" s="187" t="s">
        <v>23</v>
      </c>
    </row>
    <row r="72" spans="1:9">
      <c r="A72" s="176">
        <v>162</v>
      </c>
      <c r="B72" s="177">
        <v>192900</v>
      </c>
      <c r="C72" s="173">
        <v>31301.52</v>
      </c>
      <c r="D72" s="179"/>
      <c r="E72" s="163">
        <v>17881.14</v>
      </c>
      <c r="F72" s="178"/>
      <c r="G72" s="174">
        <f t="shared" si="4"/>
        <v>49182.66</v>
      </c>
      <c r="H72" s="174">
        <f t="shared" si="5"/>
        <v>0</v>
      </c>
      <c r="I72" s="187" t="s">
        <v>275</v>
      </c>
    </row>
    <row r="73" spans="1:9">
      <c r="A73" s="176">
        <v>163</v>
      </c>
      <c r="B73" s="177">
        <v>180400</v>
      </c>
      <c r="C73" s="163">
        <v>29273.17</v>
      </c>
      <c r="D73" s="177"/>
      <c r="E73" s="163">
        <v>16722.43</v>
      </c>
      <c r="F73" s="178"/>
      <c r="G73" s="174">
        <f t="shared" si="4"/>
        <v>45995.6</v>
      </c>
      <c r="H73" s="174">
        <f t="shared" si="5"/>
        <v>0</v>
      </c>
    </row>
    <row r="74" spans="1:9">
      <c r="A74" s="176">
        <v>164</v>
      </c>
      <c r="B74" s="177">
        <v>180400</v>
      </c>
      <c r="C74" s="163">
        <v>29273.17</v>
      </c>
      <c r="D74" s="177"/>
      <c r="E74" s="163">
        <v>16722.43</v>
      </c>
      <c r="F74" s="178"/>
      <c r="G74" s="174">
        <f t="shared" si="4"/>
        <v>45995.6</v>
      </c>
      <c r="H74" s="174">
        <f t="shared" si="5"/>
        <v>0</v>
      </c>
    </row>
    <row r="75" spans="1:9">
      <c r="A75" s="176">
        <v>168</v>
      </c>
      <c r="B75" s="177">
        <v>440900</v>
      </c>
      <c r="C75" s="163">
        <v>71544.009999999995</v>
      </c>
      <c r="D75" s="177"/>
      <c r="E75" s="163">
        <v>40869.85</v>
      </c>
      <c r="F75" s="178"/>
      <c r="G75" s="174">
        <f t="shared" si="4"/>
        <v>112413.85999999999</v>
      </c>
      <c r="H75" s="174">
        <f t="shared" si="5"/>
        <v>0</v>
      </c>
      <c r="I75" s="187" t="s">
        <v>275</v>
      </c>
    </row>
    <row r="76" spans="1:9">
      <c r="A76" s="176">
        <v>169</v>
      </c>
      <c r="B76" s="177">
        <v>440900</v>
      </c>
      <c r="C76" s="163">
        <v>71544.009999999995</v>
      </c>
      <c r="D76" s="177"/>
      <c r="E76" s="163">
        <v>40869.85</v>
      </c>
      <c r="F76" s="178"/>
      <c r="G76" s="174">
        <f t="shared" si="4"/>
        <v>112413.85999999999</v>
      </c>
      <c r="H76" s="174">
        <f t="shared" si="5"/>
        <v>0</v>
      </c>
      <c r="I76" s="187" t="s">
        <v>274</v>
      </c>
    </row>
    <row r="77" spans="1:9">
      <c r="A77" s="176">
        <v>170</v>
      </c>
      <c r="B77" s="177">
        <v>440900</v>
      </c>
      <c r="C77" s="163">
        <v>71544.009999999995</v>
      </c>
      <c r="D77" s="177"/>
      <c r="E77" s="163">
        <v>40869.85</v>
      </c>
      <c r="F77" s="178"/>
      <c r="G77" s="174">
        <f t="shared" si="4"/>
        <v>112413.85999999999</v>
      </c>
      <c r="H77" s="174">
        <f t="shared" si="5"/>
        <v>0</v>
      </c>
      <c r="I77" s="187" t="s">
        <v>274</v>
      </c>
    </row>
    <row r="78" spans="1:9">
      <c r="A78" s="176">
        <v>253</v>
      </c>
      <c r="B78" s="177">
        <v>192900</v>
      </c>
      <c r="C78" s="173">
        <v>31301.52</v>
      </c>
      <c r="D78" s="179"/>
      <c r="E78" s="163">
        <v>17881.14</v>
      </c>
      <c r="F78" s="178"/>
      <c r="G78" s="174">
        <f t="shared" si="4"/>
        <v>49182.66</v>
      </c>
      <c r="H78" s="174">
        <f t="shared" si="5"/>
        <v>0</v>
      </c>
      <c r="I78" s="187" t="s">
        <v>23</v>
      </c>
    </row>
    <row r="79" spans="1:9">
      <c r="A79" s="176">
        <v>254</v>
      </c>
      <c r="B79" s="177">
        <v>192900</v>
      </c>
      <c r="C79" s="173">
        <v>31301.52</v>
      </c>
      <c r="D79" s="179"/>
      <c r="E79" s="163">
        <v>17881.14</v>
      </c>
      <c r="F79" s="178"/>
      <c r="G79" s="174">
        <f t="shared" si="4"/>
        <v>49182.66</v>
      </c>
      <c r="H79" s="174">
        <f t="shared" si="5"/>
        <v>0</v>
      </c>
      <c r="I79" s="187" t="s">
        <v>23</v>
      </c>
    </row>
    <row r="80" spans="1:9">
      <c r="A80" s="176">
        <v>255</v>
      </c>
      <c r="B80" s="177">
        <v>192900</v>
      </c>
      <c r="C80" s="173">
        <v>31301.52</v>
      </c>
      <c r="D80" s="179"/>
      <c r="E80" s="163">
        <v>17881.14</v>
      </c>
      <c r="F80" s="178"/>
      <c r="G80" s="174">
        <f t="shared" si="4"/>
        <v>49182.66</v>
      </c>
      <c r="H80" s="174">
        <f t="shared" si="5"/>
        <v>0</v>
      </c>
      <c r="I80" s="187" t="s">
        <v>276</v>
      </c>
    </row>
    <row r="81" spans="1:9">
      <c r="A81" s="176">
        <v>256</v>
      </c>
      <c r="B81" s="177">
        <v>192900</v>
      </c>
      <c r="C81" s="173">
        <v>31301.52</v>
      </c>
      <c r="D81" s="179"/>
      <c r="E81" s="163">
        <v>17881.14</v>
      </c>
      <c r="F81" s="178"/>
      <c r="G81" s="174">
        <f t="shared" si="4"/>
        <v>49182.66</v>
      </c>
      <c r="H81" s="174">
        <f t="shared" si="5"/>
        <v>0</v>
      </c>
      <c r="I81" s="187" t="s">
        <v>274</v>
      </c>
    </row>
    <row r="82" spans="1:9">
      <c r="A82" s="176">
        <v>257</v>
      </c>
      <c r="B82" s="177">
        <v>192900</v>
      </c>
      <c r="C82" s="173">
        <v>31301.52</v>
      </c>
      <c r="D82" s="179"/>
      <c r="E82" s="163">
        <v>17881.14</v>
      </c>
      <c r="F82" s="178"/>
      <c r="G82" s="174">
        <f t="shared" si="4"/>
        <v>49182.66</v>
      </c>
      <c r="H82" s="174">
        <f t="shared" si="5"/>
        <v>0</v>
      </c>
      <c r="I82" s="187" t="s">
        <v>23</v>
      </c>
    </row>
    <row r="83" spans="1:9">
      <c r="A83" s="176">
        <v>258</v>
      </c>
      <c r="B83" s="177">
        <v>180400</v>
      </c>
      <c r="C83" s="163">
        <v>29273.17</v>
      </c>
      <c r="D83" s="177"/>
      <c r="E83" s="163">
        <v>16722.43</v>
      </c>
      <c r="F83" s="178"/>
      <c r="G83" s="174">
        <f t="shared" si="4"/>
        <v>45995.6</v>
      </c>
      <c r="H83" s="174">
        <f t="shared" si="5"/>
        <v>0</v>
      </c>
    </row>
    <row r="84" spans="1:9">
      <c r="A84" s="176">
        <v>259</v>
      </c>
      <c r="B84" s="177">
        <v>180400</v>
      </c>
      <c r="C84" s="163">
        <v>29273.17</v>
      </c>
      <c r="D84" s="177"/>
      <c r="E84" s="163">
        <v>16722.43</v>
      </c>
      <c r="F84" s="178"/>
      <c r="G84" s="174">
        <f t="shared" si="4"/>
        <v>45995.6</v>
      </c>
      <c r="H84" s="174">
        <f t="shared" si="5"/>
        <v>0</v>
      </c>
    </row>
    <row r="85" spans="1:9">
      <c r="A85" s="176">
        <v>260</v>
      </c>
      <c r="B85" s="177">
        <v>282200</v>
      </c>
      <c r="C85" s="163">
        <v>45792.06</v>
      </c>
      <c r="D85" s="177"/>
      <c r="E85" s="163">
        <v>26158.93</v>
      </c>
      <c r="F85" s="178"/>
      <c r="G85" s="174">
        <f t="shared" si="4"/>
        <v>71950.989999999991</v>
      </c>
      <c r="H85" s="174">
        <f t="shared" si="5"/>
        <v>0</v>
      </c>
      <c r="I85" s="187" t="s">
        <v>276</v>
      </c>
    </row>
    <row r="86" spans="1:9">
      <c r="A86" s="176">
        <v>261</v>
      </c>
      <c r="B86" s="177">
        <v>282200</v>
      </c>
      <c r="C86" s="163">
        <v>45792.06</v>
      </c>
      <c r="D86" s="177"/>
      <c r="E86" s="163">
        <v>26158.93</v>
      </c>
      <c r="F86" s="178"/>
      <c r="G86" s="174">
        <f t="shared" si="4"/>
        <v>71950.989999999991</v>
      </c>
      <c r="H86" s="174">
        <f t="shared" si="5"/>
        <v>0</v>
      </c>
      <c r="I86" s="187" t="s">
        <v>276</v>
      </c>
    </row>
    <row r="87" spans="1:9">
      <c r="A87" s="176">
        <v>262</v>
      </c>
      <c r="B87" s="177">
        <v>282200</v>
      </c>
      <c r="C87" s="163">
        <v>45792.06</v>
      </c>
      <c r="D87" s="177"/>
      <c r="E87" s="163">
        <v>26158.93</v>
      </c>
      <c r="F87" s="178"/>
      <c r="G87" s="174">
        <f t="shared" si="4"/>
        <v>71950.989999999991</v>
      </c>
      <c r="H87" s="174">
        <f t="shared" si="5"/>
        <v>0</v>
      </c>
      <c r="I87" s="187" t="s">
        <v>276</v>
      </c>
    </row>
    <row r="88" spans="1:9">
      <c r="A88" s="176">
        <v>263</v>
      </c>
      <c r="B88" s="177">
        <v>282200</v>
      </c>
      <c r="C88" s="163">
        <v>45792.06</v>
      </c>
      <c r="D88" s="177"/>
      <c r="E88" s="163">
        <v>26158.93</v>
      </c>
      <c r="F88" s="178"/>
      <c r="G88" s="174">
        <f t="shared" si="4"/>
        <v>71950.989999999991</v>
      </c>
      <c r="H88" s="174">
        <f t="shared" si="5"/>
        <v>0</v>
      </c>
      <c r="I88" s="187" t="s">
        <v>276</v>
      </c>
    </row>
    <row r="89" spans="1:9">
      <c r="A89" s="176">
        <v>326</v>
      </c>
      <c r="B89" s="177">
        <v>700000</v>
      </c>
      <c r="C89" s="163">
        <v>113587.68</v>
      </c>
      <c r="D89" s="177"/>
      <c r="E89" s="163">
        <v>64887.49</v>
      </c>
      <c r="F89" s="178"/>
      <c r="G89" s="174">
        <f t="shared" si="4"/>
        <v>178475.16999999998</v>
      </c>
      <c r="H89" s="174">
        <f t="shared" si="5"/>
        <v>0</v>
      </c>
    </row>
    <row r="90" spans="1:9">
      <c r="A90" s="176"/>
      <c r="B90" s="177"/>
      <c r="C90" s="177"/>
      <c r="D90" s="177"/>
      <c r="E90" s="177"/>
      <c r="F90" s="178"/>
      <c r="G90" s="174">
        <f t="shared" si="4"/>
        <v>0</v>
      </c>
      <c r="H90" s="174">
        <f t="shared" si="5"/>
        <v>0</v>
      </c>
    </row>
    <row r="91" spans="1:9">
      <c r="A91" s="176"/>
      <c r="B91" s="177"/>
      <c r="C91" s="177"/>
      <c r="D91" s="177"/>
      <c r="E91" s="177"/>
      <c r="F91" s="178"/>
      <c r="G91" s="174">
        <f t="shared" si="4"/>
        <v>0</v>
      </c>
      <c r="H91" s="174">
        <f t="shared" si="5"/>
        <v>0</v>
      </c>
    </row>
    <row r="92" spans="1:9">
      <c r="A92" s="176"/>
      <c r="B92" s="177"/>
      <c r="C92" s="177"/>
      <c r="D92" s="177"/>
      <c r="E92" s="177"/>
      <c r="F92" s="178"/>
      <c r="G92" s="174">
        <f t="shared" si="4"/>
        <v>0</v>
      </c>
      <c r="H92" s="174">
        <f t="shared" si="5"/>
        <v>0</v>
      </c>
    </row>
    <row r="93" spans="1:9">
      <c r="A93" s="176"/>
      <c r="B93" s="177"/>
      <c r="C93" s="177"/>
      <c r="D93" s="177"/>
      <c r="E93" s="177"/>
      <c r="F93" s="178"/>
      <c r="G93" s="174">
        <f t="shared" si="4"/>
        <v>0</v>
      </c>
      <c r="H93" s="174">
        <f t="shared" si="5"/>
        <v>0</v>
      </c>
    </row>
    <row r="94" spans="1:9">
      <c r="A94" s="161"/>
      <c r="B94" s="162"/>
      <c r="C94" s="162"/>
      <c r="D94" s="180">
        <f>+C94/12*7</f>
        <v>0</v>
      </c>
      <c r="E94" s="164"/>
      <c r="F94" s="167"/>
      <c r="H94" s="181">
        <f>+D94+F94</f>
        <v>0</v>
      </c>
    </row>
    <row r="95" spans="1:9">
      <c r="A95" s="161"/>
      <c r="B95" s="162">
        <f>SUM(B2:B94)</f>
        <v>28861669</v>
      </c>
      <c r="C95" s="162">
        <f>SUM(C2:C94)</f>
        <v>4683328.6099999947</v>
      </c>
      <c r="D95" s="164"/>
      <c r="E95" s="164">
        <f>SUM(E2:E94)</f>
        <v>2675373.3200000036</v>
      </c>
      <c r="F95" s="167"/>
      <c r="G95" s="181">
        <f>SUM(G2:G94)</f>
        <v>7358701.9300000044</v>
      </c>
    </row>
    <row r="96" spans="1:9" hidden="1"/>
    <row r="97" spans="1:8" hidden="1">
      <c r="A97" s="184" t="s">
        <v>245</v>
      </c>
      <c r="B97" s="183">
        <f>+B95/5</f>
        <v>5772333.7999999998</v>
      </c>
    </row>
    <row r="98" spans="1:8">
      <c r="H98" s="181">
        <f>+D98+F98</f>
        <v>0</v>
      </c>
    </row>
    <row r="99" spans="1:8">
      <c r="H99" s="181">
        <f>+D99+F99</f>
        <v>0</v>
      </c>
    </row>
    <row r="101" spans="1:8">
      <c r="E101" s="181">
        <f>SUBTOTAL(9,E33:E100)</f>
        <v>4507126.4400000013</v>
      </c>
    </row>
    <row r="103" spans="1:8" ht="18">
      <c r="B103" s="185">
        <f>+B95+G95</f>
        <v>36220370.930000007</v>
      </c>
    </row>
  </sheetData>
  <autoFilter ref="A1:J95"/>
  <pageMargins left="0" right="0" top="0" bottom="0" header="0.31496062992125984" footer="0.31496062992125984"/>
  <pageSetup paperSize="9" scale="85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6:H35"/>
  <sheetViews>
    <sheetView topLeftCell="A10" workbookViewId="0">
      <selection activeCell="H16" sqref="H16"/>
    </sheetView>
  </sheetViews>
  <sheetFormatPr defaultRowHeight="12.75"/>
  <cols>
    <col min="2" max="2" width="25.7109375" customWidth="1"/>
    <col min="3" max="3" width="6.85546875" bestFit="1" customWidth="1"/>
    <col min="4" max="4" width="40.42578125" bestFit="1" customWidth="1"/>
    <col min="5" max="5" width="9.5703125" bestFit="1" customWidth="1"/>
    <col min="6" max="6" width="13.5703125" customWidth="1"/>
    <col min="7" max="7" width="9.7109375" bestFit="1" customWidth="1"/>
    <col min="8" max="8" width="12" bestFit="1" customWidth="1"/>
  </cols>
  <sheetData>
    <row r="6" spans="2:8">
      <c r="B6" s="331"/>
      <c r="C6" s="331"/>
      <c r="D6" s="332" t="s">
        <v>706</v>
      </c>
      <c r="E6" s="333"/>
      <c r="F6" s="333"/>
      <c r="G6" s="333"/>
      <c r="H6" s="331"/>
    </row>
    <row r="7" spans="2:8" ht="13.5" thickBot="1">
      <c r="B7" s="331"/>
      <c r="C7" s="331"/>
      <c r="D7" s="331"/>
      <c r="E7" s="331"/>
      <c r="F7" s="331"/>
      <c r="G7" s="331"/>
      <c r="H7" s="331"/>
    </row>
    <row r="8" spans="2:8" ht="51.75" thickBot="1">
      <c r="B8" s="334" t="s">
        <v>707</v>
      </c>
      <c r="C8" s="335" t="s">
        <v>708</v>
      </c>
      <c r="D8" s="336" t="s">
        <v>709</v>
      </c>
      <c r="E8" s="336" t="s">
        <v>710</v>
      </c>
      <c r="F8" s="336" t="s">
        <v>711</v>
      </c>
      <c r="G8" s="337" t="s">
        <v>712</v>
      </c>
      <c r="H8" s="331"/>
    </row>
    <row r="9" spans="2:8">
      <c r="B9" s="338" t="s">
        <v>713</v>
      </c>
      <c r="C9" s="339" t="s">
        <v>714</v>
      </c>
      <c r="D9" s="340">
        <v>211698</v>
      </c>
      <c r="E9" s="341" t="s">
        <v>715</v>
      </c>
      <c r="F9" s="342">
        <v>13295.81</v>
      </c>
      <c r="G9" s="343">
        <v>1632.82</v>
      </c>
      <c r="H9" s="344">
        <f>F9*12</f>
        <v>159549.72</v>
      </c>
    </row>
    <row r="10" spans="2:8">
      <c r="B10" s="338" t="s">
        <v>716</v>
      </c>
      <c r="C10" s="345" t="s">
        <v>717</v>
      </c>
      <c r="D10" s="340">
        <v>211699</v>
      </c>
      <c r="E10" s="341" t="s">
        <v>715</v>
      </c>
      <c r="F10" s="342">
        <v>13260.01</v>
      </c>
      <c r="G10" s="343">
        <v>1628.42</v>
      </c>
      <c r="H10" s="344">
        <f t="shared" ref="H10:H19" si="0">F10*12</f>
        <v>159120.12</v>
      </c>
    </row>
    <row r="11" spans="2:8">
      <c r="B11" s="338" t="s">
        <v>716</v>
      </c>
      <c r="C11" s="339" t="s">
        <v>718</v>
      </c>
      <c r="D11" s="340">
        <v>211701</v>
      </c>
      <c r="E11" s="341" t="s">
        <v>715</v>
      </c>
      <c r="F11" s="342">
        <v>15645.86</v>
      </c>
      <c r="G11" s="343">
        <v>1921.42</v>
      </c>
      <c r="H11" s="344">
        <f t="shared" si="0"/>
        <v>187750.32</v>
      </c>
    </row>
    <row r="12" spans="2:8">
      <c r="B12" s="338" t="s">
        <v>716</v>
      </c>
      <c r="C12" s="346" t="s">
        <v>719</v>
      </c>
      <c r="D12" s="340">
        <v>211704</v>
      </c>
      <c r="E12" s="341" t="s">
        <v>715</v>
      </c>
      <c r="F12" s="342">
        <v>12999.17</v>
      </c>
      <c r="G12" s="343">
        <v>1596.39</v>
      </c>
      <c r="H12" s="344">
        <f t="shared" si="0"/>
        <v>155990.04</v>
      </c>
    </row>
    <row r="13" spans="2:8">
      <c r="B13" s="338" t="s">
        <v>716</v>
      </c>
      <c r="C13" s="346" t="s">
        <v>720</v>
      </c>
      <c r="D13" s="340">
        <v>211706</v>
      </c>
      <c r="E13" s="341" t="s">
        <v>715</v>
      </c>
      <c r="F13" s="342">
        <v>13362.3</v>
      </c>
      <c r="G13" s="343">
        <v>1640.98</v>
      </c>
      <c r="H13" s="344">
        <f t="shared" si="0"/>
        <v>160347.59999999998</v>
      </c>
    </row>
    <row r="14" spans="2:8">
      <c r="B14" s="338" t="s">
        <v>716</v>
      </c>
      <c r="C14" s="346" t="s">
        <v>721</v>
      </c>
      <c r="D14" s="340">
        <v>211708</v>
      </c>
      <c r="E14" s="341" t="s">
        <v>715</v>
      </c>
      <c r="F14" s="342">
        <v>14670.23</v>
      </c>
      <c r="G14" s="343">
        <v>1801.61</v>
      </c>
      <c r="H14" s="344">
        <f t="shared" si="0"/>
        <v>176042.76</v>
      </c>
    </row>
    <row r="15" spans="2:8">
      <c r="B15" s="338" t="s">
        <v>722</v>
      </c>
      <c r="C15" s="346" t="s">
        <v>723</v>
      </c>
      <c r="D15" s="340">
        <v>211722</v>
      </c>
      <c r="E15" s="341" t="s">
        <v>715</v>
      </c>
      <c r="F15" s="342">
        <v>6892.51</v>
      </c>
      <c r="G15" s="343">
        <v>846.45</v>
      </c>
      <c r="H15" s="344">
        <f t="shared" si="0"/>
        <v>82710.12</v>
      </c>
    </row>
    <row r="16" spans="2:8">
      <c r="B16" s="338" t="s">
        <v>724</v>
      </c>
      <c r="C16" s="346" t="s">
        <v>725</v>
      </c>
      <c r="D16" s="340">
        <v>211711</v>
      </c>
      <c r="E16" s="341" t="s">
        <v>715</v>
      </c>
      <c r="F16" s="342">
        <v>8221.42</v>
      </c>
      <c r="G16" s="343">
        <v>1009.65</v>
      </c>
      <c r="H16" s="344">
        <f t="shared" si="0"/>
        <v>98657.040000000008</v>
      </c>
    </row>
    <row r="17" spans="2:8">
      <c r="B17" s="338" t="s">
        <v>724</v>
      </c>
      <c r="C17" s="346" t="s">
        <v>726</v>
      </c>
      <c r="D17" s="340">
        <v>211712</v>
      </c>
      <c r="E17" s="341" t="s">
        <v>715</v>
      </c>
      <c r="F17" s="342">
        <v>10212.11</v>
      </c>
      <c r="G17" s="343">
        <v>1254.1199999999999</v>
      </c>
      <c r="H17" s="344">
        <f t="shared" si="0"/>
        <v>122545.32</v>
      </c>
    </row>
    <row r="18" spans="2:8">
      <c r="B18" s="338" t="s">
        <v>724</v>
      </c>
      <c r="C18" s="346" t="s">
        <v>727</v>
      </c>
      <c r="D18" s="340">
        <v>211716</v>
      </c>
      <c r="E18" s="341" t="s">
        <v>715</v>
      </c>
      <c r="F18" s="342">
        <v>9227.8799999999992</v>
      </c>
      <c r="G18" s="343">
        <v>1133.25</v>
      </c>
      <c r="H18" s="344">
        <f t="shared" si="0"/>
        <v>110734.56</v>
      </c>
    </row>
    <row r="19" spans="2:8">
      <c r="B19" s="347" t="s">
        <v>728</v>
      </c>
      <c r="C19" s="348" t="s">
        <v>729</v>
      </c>
      <c r="D19" s="340">
        <v>211721</v>
      </c>
      <c r="E19" s="341" t="s">
        <v>715</v>
      </c>
      <c r="F19" s="342">
        <v>12140.7</v>
      </c>
      <c r="G19" s="343">
        <v>1490.96</v>
      </c>
      <c r="H19" s="344">
        <f t="shared" si="0"/>
        <v>145688.40000000002</v>
      </c>
    </row>
    <row r="20" spans="2:8" ht="13.5" thickBot="1">
      <c r="B20" s="349"/>
      <c r="C20" s="350"/>
      <c r="D20" s="351"/>
      <c r="E20" s="352"/>
      <c r="F20" s="353"/>
      <c r="G20" s="354"/>
      <c r="H20" s="331"/>
    </row>
    <row r="24" spans="2:8" ht="13.5" thickBot="1">
      <c r="B24" s="355"/>
      <c r="C24" s="355"/>
      <c r="D24" s="355"/>
      <c r="E24" s="355"/>
      <c r="F24" s="355"/>
      <c r="G24" s="355"/>
      <c r="H24" s="355"/>
    </row>
    <row r="25" spans="2:8" ht="51.75" thickBot="1">
      <c r="B25" s="356" t="s">
        <v>707</v>
      </c>
      <c r="C25" s="357" t="s">
        <v>708</v>
      </c>
      <c r="D25" s="358" t="s">
        <v>709</v>
      </c>
      <c r="E25" s="358" t="s">
        <v>710</v>
      </c>
      <c r="F25" s="358" t="s">
        <v>711</v>
      </c>
      <c r="G25" s="359" t="s">
        <v>712</v>
      </c>
      <c r="H25" s="355"/>
    </row>
    <row r="26" spans="2:8">
      <c r="B26" s="360" t="s">
        <v>730</v>
      </c>
      <c r="C26" s="361" t="s">
        <v>731</v>
      </c>
      <c r="D26" s="362">
        <v>211689</v>
      </c>
      <c r="E26" s="363" t="s">
        <v>715</v>
      </c>
      <c r="F26" s="364">
        <v>5418.79</v>
      </c>
      <c r="G26" s="365">
        <v>665.46</v>
      </c>
      <c r="H26" s="355">
        <f>F26*12</f>
        <v>65025.479999999996</v>
      </c>
    </row>
    <row r="27" spans="2:8">
      <c r="B27" s="360" t="s">
        <v>730</v>
      </c>
      <c r="C27" s="361" t="s">
        <v>732</v>
      </c>
      <c r="D27" s="362">
        <v>211696</v>
      </c>
      <c r="E27" s="363" t="s">
        <v>715</v>
      </c>
      <c r="F27" s="364">
        <v>4954.3900000000003</v>
      </c>
      <c r="G27" s="365">
        <v>608.42999999999995</v>
      </c>
      <c r="H27" s="355">
        <f t="shared" ref="H27:H33" si="1">F27*12</f>
        <v>59452.680000000008</v>
      </c>
    </row>
    <row r="28" spans="2:8">
      <c r="B28" s="360" t="s">
        <v>730</v>
      </c>
      <c r="C28" s="361" t="s">
        <v>733</v>
      </c>
      <c r="D28" s="362">
        <v>211702</v>
      </c>
      <c r="E28" s="363" t="s">
        <v>715</v>
      </c>
      <c r="F28" s="364">
        <v>5163.37</v>
      </c>
      <c r="G28" s="365">
        <v>634.1</v>
      </c>
      <c r="H28" s="355">
        <f t="shared" si="1"/>
        <v>61960.44</v>
      </c>
    </row>
    <row r="29" spans="2:8">
      <c r="B29" s="360" t="s">
        <v>734</v>
      </c>
      <c r="C29" s="361" t="s">
        <v>735</v>
      </c>
      <c r="D29" s="362">
        <v>211705</v>
      </c>
      <c r="E29" s="363" t="s">
        <v>715</v>
      </c>
      <c r="F29" s="364">
        <v>6998.47</v>
      </c>
      <c r="G29" s="365">
        <v>44.66</v>
      </c>
      <c r="H29" s="355">
        <f t="shared" si="1"/>
        <v>83981.64</v>
      </c>
    </row>
    <row r="30" spans="2:8">
      <c r="B30" s="360" t="s">
        <v>736</v>
      </c>
      <c r="C30" s="361" t="s">
        <v>737</v>
      </c>
      <c r="D30" s="362">
        <v>211710</v>
      </c>
      <c r="E30" s="363" t="s">
        <v>715</v>
      </c>
      <c r="F30" s="364">
        <v>2931.11</v>
      </c>
      <c r="G30" s="365">
        <v>40.42</v>
      </c>
      <c r="H30" s="355">
        <f t="shared" si="1"/>
        <v>35173.32</v>
      </c>
    </row>
    <row r="31" spans="2:8">
      <c r="B31" s="360" t="s">
        <v>738</v>
      </c>
      <c r="C31" s="361" t="s">
        <v>739</v>
      </c>
      <c r="D31" s="362">
        <v>211714</v>
      </c>
      <c r="E31" s="363" t="s">
        <v>715</v>
      </c>
      <c r="F31" s="364">
        <v>3684.87</v>
      </c>
      <c r="G31" s="365">
        <v>452.53</v>
      </c>
      <c r="H31" s="355">
        <f t="shared" si="1"/>
        <v>44218.44</v>
      </c>
    </row>
    <row r="32" spans="2:8">
      <c r="B32" s="360" t="s">
        <v>738</v>
      </c>
      <c r="C32" s="361" t="s">
        <v>740</v>
      </c>
      <c r="D32" s="362">
        <v>211718</v>
      </c>
      <c r="E32" s="363" t="s">
        <v>715</v>
      </c>
      <c r="F32" s="364">
        <v>3596.62</v>
      </c>
      <c r="G32" s="365">
        <v>441.69</v>
      </c>
      <c r="H32" s="355">
        <f t="shared" si="1"/>
        <v>43159.44</v>
      </c>
    </row>
    <row r="33" spans="2:8">
      <c r="B33" s="366" t="s">
        <v>738</v>
      </c>
      <c r="C33" s="367" t="s">
        <v>741</v>
      </c>
      <c r="D33" s="362">
        <v>211723</v>
      </c>
      <c r="E33" s="363" t="s">
        <v>715</v>
      </c>
      <c r="F33" s="364">
        <v>3437.09</v>
      </c>
      <c r="G33" s="365">
        <v>422.1</v>
      </c>
      <c r="H33" s="355">
        <f t="shared" si="1"/>
        <v>41245.08</v>
      </c>
    </row>
    <row r="34" spans="2:8" ht="13.5" thickBot="1">
      <c r="B34" s="368"/>
      <c r="C34" s="369"/>
      <c r="D34" s="370"/>
      <c r="E34" s="371"/>
      <c r="F34" s="372"/>
      <c r="G34" s="373"/>
      <c r="H34" s="355"/>
    </row>
    <row r="35" spans="2:8">
      <c r="B35" s="374"/>
      <c r="C35" s="374"/>
      <c r="D35" s="375"/>
      <c r="E35" s="376"/>
      <c r="F35" s="374"/>
      <c r="G35" s="374"/>
      <c r="H35" s="377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6" enableFormatConditionsCalculation="0">
    <tabColor indexed="41"/>
  </sheetPr>
  <dimension ref="A1:R122"/>
  <sheetViews>
    <sheetView zoomScaleSheetLayoutView="100" workbookViewId="0">
      <pane xSplit="3" ySplit="3" topLeftCell="D4" activePane="bottomRight" state="frozen"/>
      <selection activeCell="J41" sqref="J41"/>
      <selection pane="topRight" activeCell="J41" sqref="J41"/>
      <selection pane="bottomLeft" activeCell="J41" sqref="J41"/>
      <selection pane="bottomRight" activeCell="H10" sqref="H10"/>
    </sheetView>
  </sheetViews>
  <sheetFormatPr defaultColWidth="10" defaultRowHeight="11.25"/>
  <cols>
    <col min="1" max="1" width="19.7109375" style="2" bestFit="1" customWidth="1"/>
    <col min="2" max="2" width="9.28515625" style="2" bestFit="1" customWidth="1"/>
    <col min="3" max="3" width="3.85546875" style="10" bestFit="1" customWidth="1"/>
    <col min="4" max="4" width="7" style="29" bestFit="1" customWidth="1"/>
    <col min="5" max="9" width="10.140625" style="2" bestFit="1" customWidth="1"/>
    <col min="10" max="10" width="7" style="2" hidden="1" customWidth="1"/>
    <col min="11" max="11" width="10.140625" style="2" bestFit="1" customWidth="1"/>
    <col min="12" max="12" width="8.5703125" style="2" hidden="1" customWidth="1"/>
    <col min="13" max="13" width="10.5703125" style="2" hidden="1" customWidth="1"/>
    <col min="14" max="14" width="10.42578125" style="2" customWidth="1"/>
    <col min="15" max="16" width="10.140625" style="2" bestFit="1" customWidth="1"/>
    <col min="17" max="17" width="5.42578125" style="27" hidden="1" customWidth="1"/>
    <col min="18" max="18" width="7" style="53" bestFit="1" customWidth="1"/>
    <col min="19" max="16384" width="10" style="2"/>
  </cols>
  <sheetData>
    <row r="1" spans="1:18">
      <c r="A1" s="30" t="s">
        <v>278</v>
      </c>
      <c r="D1" s="29" t="s">
        <v>50</v>
      </c>
    </row>
    <row r="3" spans="1:18" s="30" customFormat="1" ht="33" customHeight="1">
      <c r="A3" s="198" t="s">
        <v>0</v>
      </c>
      <c r="B3" s="198" t="s">
        <v>1</v>
      </c>
      <c r="C3" s="199" t="s">
        <v>2</v>
      </c>
      <c r="D3" s="200" t="s">
        <v>3</v>
      </c>
      <c r="E3" s="201" t="s">
        <v>191</v>
      </c>
      <c r="F3" s="201" t="s">
        <v>192</v>
      </c>
      <c r="G3" s="201" t="s">
        <v>193</v>
      </c>
      <c r="H3" s="201" t="s">
        <v>194</v>
      </c>
      <c r="I3" s="201" t="s">
        <v>199</v>
      </c>
      <c r="J3" s="201" t="s">
        <v>195</v>
      </c>
      <c r="K3" s="201" t="s">
        <v>196</v>
      </c>
      <c r="L3" s="202" t="str">
        <f>+MM!L3</f>
        <v>REDEMPTION</v>
      </c>
      <c r="M3" s="202" t="str">
        <f>+MM!M3</f>
        <v>INTEREST</v>
      </c>
      <c r="N3" s="203" t="s">
        <v>13</v>
      </c>
      <c r="O3" s="201" t="s">
        <v>198</v>
      </c>
      <c r="P3" s="201" t="s">
        <v>197</v>
      </c>
      <c r="Q3" s="204" t="s">
        <v>89</v>
      </c>
      <c r="R3" s="205" t="s">
        <v>12</v>
      </c>
    </row>
    <row r="4" spans="1:18" s="19" customFormat="1" ht="17.25" customHeight="1">
      <c r="A4" s="89"/>
      <c r="B4" s="89"/>
      <c r="C4" s="124"/>
      <c r="D4" s="125"/>
      <c r="E4" s="126"/>
      <c r="F4" s="126"/>
      <c r="G4" s="126"/>
      <c r="H4" s="126"/>
      <c r="I4" s="126"/>
      <c r="J4" s="126"/>
      <c r="K4" s="126"/>
      <c r="L4" s="126"/>
      <c r="M4" s="126"/>
      <c r="N4" s="89"/>
      <c r="O4" s="126"/>
      <c r="P4" s="126"/>
      <c r="Q4" s="40"/>
      <c r="R4" s="68"/>
    </row>
    <row r="6" spans="1:18" s="30" customFormat="1" ht="12" thickBot="1">
      <c r="A6" s="59"/>
      <c r="B6" s="59"/>
      <c r="C6" s="63"/>
      <c r="D6" s="64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0"/>
    </row>
    <row r="7" spans="1:18" ht="12" thickBot="1">
      <c r="A7" s="97" t="s">
        <v>11</v>
      </c>
      <c r="B7" s="98" t="s">
        <v>258</v>
      </c>
      <c r="D7" s="381" t="s">
        <v>146</v>
      </c>
      <c r="E7" s="382"/>
      <c r="F7" s="383"/>
    </row>
    <row r="8" spans="1:18">
      <c r="R8" s="36"/>
    </row>
    <row r="9" spans="1:18">
      <c r="A9" s="87" t="s">
        <v>211</v>
      </c>
      <c r="B9" s="87" t="s">
        <v>28</v>
      </c>
      <c r="C9" s="78">
        <v>259</v>
      </c>
      <c r="D9" s="70">
        <v>20000</v>
      </c>
      <c r="E9" s="88">
        <f>+D9/Q9*(CALC!$A$4)</f>
        <v>16666.666666666668</v>
      </c>
      <c r="F9" s="61">
        <v>2000</v>
      </c>
      <c r="G9" s="61">
        <v>2500</v>
      </c>
      <c r="H9" s="61">
        <v>6000</v>
      </c>
      <c r="I9" s="61">
        <v>0</v>
      </c>
      <c r="J9" s="61"/>
      <c r="K9" s="61">
        <f>239+36</f>
        <v>275</v>
      </c>
      <c r="L9" s="61"/>
      <c r="M9" s="61"/>
      <c r="N9" s="61">
        <f>SUM(E9:M9)</f>
        <v>27441.666666666668</v>
      </c>
      <c r="O9" s="56">
        <f>N9/CALC!$A$8*CALC!$A$6</f>
        <v>1003.5742826383275</v>
      </c>
      <c r="P9" s="61">
        <f>+N9+O9</f>
        <v>28445.240949304996</v>
      </c>
      <c r="Q9" s="55">
        <v>6</v>
      </c>
      <c r="R9" s="36"/>
    </row>
    <row r="10" spans="1:18">
      <c r="A10" s="22"/>
      <c r="B10" s="22"/>
      <c r="C10" s="33"/>
      <c r="D10" s="15"/>
      <c r="E10" s="54"/>
      <c r="F10" s="23"/>
      <c r="G10" s="23"/>
      <c r="H10" s="23"/>
      <c r="I10" s="23">
        <v>0</v>
      </c>
      <c r="J10" s="23"/>
      <c r="K10" s="23"/>
      <c r="L10" s="23"/>
      <c r="M10" s="23"/>
      <c r="N10" s="23"/>
      <c r="O10" s="23"/>
      <c r="P10" s="23"/>
      <c r="Q10" s="55"/>
      <c r="R10" s="36"/>
    </row>
    <row r="11" spans="1:18">
      <c r="A11" s="22"/>
      <c r="B11" s="22"/>
      <c r="C11" s="33"/>
      <c r="D11" s="15"/>
      <c r="E11" s="23"/>
      <c r="F11" s="23"/>
      <c r="G11" s="23"/>
      <c r="H11" s="23"/>
      <c r="I11" s="23">
        <v>0</v>
      </c>
      <c r="J11" s="23"/>
      <c r="K11" s="23"/>
      <c r="L11" s="23"/>
      <c r="M11" s="23"/>
      <c r="N11" s="23"/>
      <c r="O11" s="23"/>
      <c r="P11" s="23"/>
      <c r="Q11" s="55"/>
      <c r="R11" s="36"/>
    </row>
    <row r="12" spans="1:18" s="30" customFormat="1">
      <c r="A12" s="59"/>
      <c r="B12" s="4" t="s">
        <v>15</v>
      </c>
      <c r="C12" s="42"/>
      <c r="D12" s="28">
        <f t="shared" ref="D12:N12" si="0">SUM(D9:D11)</f>
        <v>20000</v>
      </c>
      <c r="E12" s="26">
        <f t="shared" si="0"/>
        <v>16666.666666666668</v>
      </c>
      <c r="F12" s="26">
        <f t="shared" si="0"/>
        <v>2000</v>
      </c>
      <c r="G12" s="26">
        <f t="shared" si="0"/>
        <v>2500</v>
      </c>
      <c r="H12" s="26">
        <f t="shared" si="0"/>
        <v>6000</v>
      </c>
      <c r="I12" s="26">
        <v>0</v>
      </c>
      <c r="J12" s="26">
        <f t="shared" si="0"/>
        <v>0</v>
      </c>
      <c r="K12" s="26">
        <f t="shared" si="0"/>
        <v>275</v>
      </c>
      <c r="L12" s="26">
        <f>SUM(L9:L11)</f>
        <v>0</v>
      </c>
      <c r="M12" s="26">
        <f>SUM(M9:M11)</f>
        <v>0</v>
      </c>
      <c r="N12" s="26">
        <f t="shared" si="0"/>
        <v>27441.666666666668</v>
      </c>
      <c r="O12" s="26">
        <f>N12/CALC!$A$8*CALC!$A$6</f>
        <v>1003.5742826383275</v>
      </c>
      <c r="P12" s="26">
        <f>+N12+O12</f>
        <v>28445.240949304996</v>
      </c>
      <c r="Q12" s="57"/>
      <c r="R12" s="197">
        <f>(+P12/D12)*(1+CALC!$A$2)</f>
        <v>1.4649299088892074</v>
      </c>
    </row>
    <row r="13" spans="1:18">
      <c r="R13" s="36"/>
    </row>
    <row r="14" spans="1:18" ht="12" thickBot="1">
      <c r="R14" s="36"/>
    </row>
    <row r="15" spans="1:18" ht="12" thickBot="1">
      <c r="B15" s="156" t="s">
        <v>15</v>
      </c>
      <c r="C15" s="157"/>
      <c r="D15" s="158">
        <f>+D16</f>
        <v>20000</v>
      </c>
      <c r="E15" s="159">
        <f>+E16</f>
        <v>16666.666666666668</v>
      </c>
      <c r="F15" s="159">
        <f>+F16</f>
        <v>2000</v>
      </c>
      <c r="G15" s="159">
        <f>+G16</f>
        <v>2500</v>
      </c>
      <c r="H15" s="159">
        <f t="shared" ref="H15:P15" si="1">+H16</f>
        <v>6000</v>
      </c>
      <c r="I15" s="159"/>
      <c r="J15" s="159"/>
      <c r="K15" s="159">
        <f t="shared" si="1"/>
        <v>275</v>
      </c>
      <c r="L15" s="159">
        <f t="shared" si="1"/>
        <v>0</v>
      </c>
      <c r="M15" s="159">
        <f t="shared" si="1"/>
        <v>0</v>
      </c>
      <c r="N15" s="159">
        <f t="shared" si="1"/>
        <v>27441.666666666668</v>
      </c>
      <c r="O15" s="159">
        <f t="shared" si="1"/>
        <v>1003.5742826383275</v>
      </c>
      <c r="P15" s="159">
        <f t="shared" si="1"/>
        <v>28445.240949304996</v>
      </c>
    </row>
    <row r="16" spans="1:18" s="30" customFormat="1" ht="12" thickBot="1">
      <c r="A16" s="66" t="s">
        <v>212</v>
      </c>
      <c r="B16" s="103" t="s">
        <v>15</v>
      </c>
      <c r="C16" s="104"/>
      <c r="D16" s="152">
        <f>+D12</f>
        <v>20000</v>
      </c>
      <c r="E16" s="153">
        <f>+E12</f>
        <v>16666.666666666668</v>
      </c>
      <c r="F16" s="153">
        <f>+F12</f>
        <v>2000</v>
      </c>
      <c r="G16" s="153">
        <f>+G12</f>
        <v>2500</v>
      </c>
      <c r="H16" s="153">
        <f>+H12</f>
        <v>6000</v>
      </c>
      <c r="I16" s="153"/>
      <c r="J16" s="153"/>
      <c r="K16" s="153">
        <f t="shared" ref="K16:P16" si="2">+K12</f>
        <v>275</v>
      </c>
      <c r="L16" s="153">
        <f t="shared" si="2"/>
        <v>0</v>
      </c>
      <c r="M16" s="153">
        <f t="shared" si="2"/>
        <v>0</v>
      </c>
      <c r="N16" s="153">
        <f t="shared" si="2"/>
        <v>27441.666666666668</v>
      </c>
      <c r="O16" s="153">
        <f t="shared" si="2"/>
        <v>1003.5742826383275</v>
      </c>
      <c r="P16" s="153">
        <f t="shared" si="2"/>
        <v>28445.240949304996</v>
      </c>
      <c r="Q16" s="67"/>
      <c r="R16" s="67"/>
    </row>
    <row r="23" spans="6:7">
      <c r="F23" s="84"/>
      <c r="G23" s="84"/>
    </row>
    <row r="26" spans="6:7">
      <c r="F26" s="27"/>
      <c r="G26" s="27"/>
    </row>
    <row r="122" spans="6:6">
      <c r="F122" s="2">
        <f>SUM(F113:F121)</f>
        <v>0</v>
      </c>
    </row>
  </sheetData>
  <mergeCells count="1">
    <mergeCell ref="D7:F7"/>
  </mergeCells>
  <phoneticPr fontId="0" type="noConversion"/>
  <pageMargins left="0.35433070866141736" right="0" top="0.39370078740157483" bottom="0" header="0" footer="0"/>
  <pageSetup paperSize="9" scale="86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7" enableFormatConditionsCalculation="0">
    <tabColor indexed="11"/>
  </sheetPr>
  <dimension ref="A1:R129"/>
  <sheetViews>
    <sheetView zoomScaleSheetLayoutView="100" workbookViewId="0">
      <pane xSplit="3" ySplit="3" topLeftCell="D4" activePane="bottomRight" state="frozen"/>
      <selection activeCell="J41" sqref="J41"/>
      <selection pane="topRight" activeCell="J41" sqref="J41"/>
      <selection pane="bottomLeft" activeCell="J41" sqref="J41"/>
      <selection pane="bottomRight" activeCell="I35" sqref="I35"/>
    </sheetView>
  </sheetViews>
  <sheetFormatPr defaultColWidth="10" defaultRowHeight="11.25"/>
  <cols>
    <col min="1" max="1" width="14.28515625" style="2" customWidth="1"/>
    <col min="2" max="2" width="11.28515625" style="2" bestFit="1" customWidth="1"/>
    <col min="3" max="3" width="4.42578125" style="10" bestFit="1" customWidth="1"/>
    <col min="4" max="4" width="7.85546875" style="29" bestFit="1" customWidth="1"/>
    <col min="5" max="10" width="11.28515625" style="2" bestFit="1" customWidth="1"/>
    <col min="11" max="11" width="11.28515625" style="2" customWidth="1"/>
    <col min="12" max="12" width="11.28515625" style="2" hidden="1" customWidth="1"/>
    <col min="13" max="13" width="9.28515625" style="2" hidden="1" customWidth="1"/>
    <col min="14" max="14" width="11.28515625" style="2" bestFit="1" customWidth="1"/>
    <col min="15" max="15" width="10.140625" style="2" bestFit="1" customWidth="1"/>
    <col min="16" max="16" width="11.28515625" style="2" bestFit="1" customWidth="1"/>
    <col min="17" max="17" width="6.140625" style="27" hidden="1" customWidth="1"/>
    <col min="18" max="18" width="7.85546875" style="53" bestFit="1" customWidth="1"/>
    <col min="19" max="16384" width="10" style="2"/>
  </cols>
  <sheetData>
    <row r="1" spans="1:18">
      <c r="A1" s="30" t="s">
        <v>278</v>
      </c>
      <c r="D1" s="29" t="s">
        <v>106</v>
      </c>
    </row>
    <row r="3" spans="1:18" ht="33" customHeight="1">
      <c r="A3" s="128" t="s">
        <v>0</v>
      </c>
      <c r="B3" s="128" t="s">
        <v>1</v>
      </c>
      <c r="C3" s="129" t="s">
        <v>2</v>
      </c>
      <c r="D3" s="130" t="s">
        <v>3</v>
      </c>
      <c r="E3" s="131" t="s">
        <v>202</v>
      </c>
      <c r="F3" s="131" t="s">
        <v>192</v>
      </c>
      <c r="G3" s="131" t="s">
        <v>193</v>
      </c>
      <c r="H3" s="131" t="s">
        <v>194</v>
      </c>
      <c r="I3" s="131" t="s">
        <v>199</v>
      </c>
      <c r="J3" s="131" t="s">
        <v>195</v>
      </c>
      <c r="K3" s="131" t="s">
        <v>196</v>
      </c>
      <c r="L3" s="154" t="str">
        <f>+finance!L3</f>
        <v>REDEMPTION</v>
      </c>
      <c r="M3" s="154" t="str">
        <f>+finance!M3</f>
        <v>INTEREST</v>
      </c>
      <c r="N3" s="155" t="s">
        <v>13</v>
      </c>
      <c r="O3" s="131" t="s">
        <v>203</v>
      </c>
      <c r="P3" s="131" t="s">
        <v>197</v>
      </c>
      <c r="Q3" s="132" t="s">
        <v>89</v>
      </c>
      <c r="R3" s="133" t="s">
        <v>12</v>
      </c>
    </row>
    <row r="4" spans="1:18" s="19" customFormat="1" ht="17.25" customHeight="1">
      <c r="A4" s="89"/>
      <c r="B4" s="89"/>
      <c r="C4" s="124"/>
      <c r="D4" s="125"/>
      <c r="E4" s="126"/>
      <c r="F4" s="126"/>
      <c r="G4" s="126"/>
      <c r="H4" s="126"/>
      <c r="I4" s="126"/>
      <c r="J4" s="126"/>
      <c r="K4" s="126"/>
      <c r="L4" s="126"/>
      <c r="M4" s="126"/>
      <c r="N4" s="89"/>
      <c r="O4" s="126"/>
      <c r="P4" s="126"/>
      <c r="Q4" s="40"/>
      <c r="R4" s="68"/>
    </row>
    <row r="5" spans="1:18" ht="12" thickBot="1"/>
    <row r="6" spans="1:18" ht="12" thickBot="1">
      <c r="A6" s="97" t="s">
        <v>11</v>
      </c>
      <c r="B6" s="98" t="s">
        <v>665</v>
      </c>
      <c r="D6" s="381" t="s">
        <v>279</v>
      </c>
      <c r="E6" s="382"/>
      <c r="F6" s="383"/>
      <c r="R6" s="36"/>
    </row>
    <row r="7" spans="1:18">
      <c r="R7" s="36"/>
    </row>
    <row r="8" spans="1:18" s="18" customFormat="1">
      <c r="A8" s="87"/>
      <c r="B8" s="87" t="s">
        <v>287</v>
      </c>
      <c r="C8" s="78">
        <v>281</v>
      </c>
      <c r="D8" s="70">
        <v>15000</v>
      </c>
      <c r="E8" s="88">
        <f>+D8/Q8*(CALC!$A$4)*1.1</f>
        <v>12368.815592203899</v>
      </c>
      <c r="F8" s="61">
        <v>0</v>
      </c>
      <c r="G8" s="61">
        <v>5500</v>
      </c>
      <c r="H8" s="61">
        <v>100</v>
      </c>
      <c r="I8" s="61">
        <f>27293.89*0.75</f>
        <v>20470.4175</v>
      </c>
      <c r="J8" s="61">
        <v>41245.08</v>
      </c>
      <c r="K8" s="61">
        <f>+'1-10'!R15</f>
        <v>329</v>
      </c>
      <c r="L8" s="61"/>
      <c r="M8" s="61"/>
      <c r="N8" s="61">
        <f>SUM(E8:M8)</f>
        <v>80013.313092203898</v>
      </c>
      <c r="O8" s="61">
        <f>N8/CALC!$A$8*CALC!$A$6</f>
        <v>2926.1817171463495</v>
      </c>
      <c r="P8" s="61">
        <f>+N8+O8</f>
        <v>82939.494809350246</v>
      </c>
      <c r="Q8" s="72">
        <v>6.67</v>
      </c>
      <c r="R8" s="73"/>
    </row>
    <row r="9" spans="1:18">
      <c r="A9" s="22"/>
      <c r="B9" s="22"/>
      <c r="C9" s="33"/>
      <c r="D9" s="15"/>
      <c r="E9" s="54"/>
      <c r="F9" s="23"/>
      <c r="G9" s="23"/>
      <c r="H9" s="23"/>
      <c r="I9" s="23"/>
      <c r="J9" s="61"/>
      <c r="K9" s="23"/>
      <c r="L9" s="23"/>
      <c r="M9" s="23"/>
      <c r="N9" s="23"/>
      <c r="O9" s="23"/>
      <c r="P9" s="23"/>
      <c r="Q9" s="55"/>
      <c r="R9" s="36"/>
    </row>
    <row r="10" spans="1:18">
      <c r="A10" s="22"/>
      <c r="B10" s="22"/>
      <c r="C10" s="33"/>
      <c r="D10" s="15"/>
      <c r="E10" s="23"/>
      <c r="F10" s="23"/>
      <c r="G10" s="23"/>
      <c r="H10" s="23"/>
      <c r="I10" s="23"/>
      <c r="J10" s="61"/>
      <c r="K10" s="23"/>
      <c r="L10" s="23"/>
      <c r="M10" s="23"/>
      <c r="N10" s="23"/>
      <c r="O10" s="23"/>
      <c r="P10" s="23"/>
      <c r="Q10" s="55"/>
      <c r="R10" s="36"/>
    </row>
    <row r="11" spans="1:18" s="30" customFormat="1">
      <c r="A11" s="59"/>
      <c r="B11" s="4" t="s">
        <v>15</v>
      </c>
      <c r="C11" s="42"/>
      <c r="D11" s="28">
        <f t="shared" ref="D11:N11" si="0">SUM(D8:D10)</f>
        <v>15000</v>
      </c>
      <c r="E11" s="26">
        <f t="shared" si="0"/>
        <v>12368.815592203899</v>
      </c>
      <c r="F11" s="26">
        <f t="shared" si="0"/>
        <v>0</v>
      </c>
      <c r="G11" s="26">
        <f t="shared" si="0"/>
        <v>5500</v>
      </c>
      <c r="H11" s="26">
        <f t="shared" si="0"/>
        <v>100</v>
      </c>
      <c r="I11" s="26">
        <f t="shared" si="0"/>
        <v>20470.4175</v>
      </c>
      <c r="J11" s="56">
        <f t="shared" si="0"/>
        <v>41245.08</v>
      </c>
      <c r="K11" s="26">
        <f>SUM(K8:K10)</f>
        <v>329</v>
      </c>
      <c r="L11" s="26">
        <f t="shared" si="0"/>
        <v>0</v>
      </c>
      <c r="M11" s="26">
        <f>SUM(M8:M10)</f>
        <v>0</v>
      </c>
      <c r="N11" s="26">
        <f t="shared" si="0"/>
        <v>80013.313092203898</v>
      </c>
      <c r="O11" s="26">
        <f>N11/CALC!$A$8*CALC!$A$6</f>
        <v>2926.1817171463495</v>
      </c>
      <c r="P11" s="26">
        <f>+N11+O11</f>
        <v>82939.494809350246</v>
      </c>
      <c r="Q11" s="57"/>
      <c r="R11" s="197">
        <f>(+P11/D11)*(1+CALC!$A$2)</f>
        <v>5.6951786435753844</v>
      </c>
    </row>
    <row r="12" spans="1:18" ht="12" thickBot="1">
      <c r="R12" s="36"/>
    </row>
    <row r="13" spans="1:18" ht="12" thickBot="1">
      <c r="A13" s="97" t="s">
        <v>11</v>
      </c>
      <c r="B13" s="98" t="s">
        <v>666</v>
      </c>
      <c r="D13" s="381" t="s">
        <v>322</v>
      </c>
      <c r="E13" s="382"/>
      <c r="F13" s="383"/>
      <c r="R13" s="36"/>
    </row>
    <row r="14" spans="1:18">
      <c r="R14" s="36"/>
    </row>
    <row r="15" spans="1:18" s="18" customFormat="1">
      <c r="A15" s="87"/>
      <c r="B15" s="87" t="s">
        <v>288</v>
      </c>
      <c r="C15" s="78">
        <v>15</v>
      </c>
      <c r="D15" s="70">
        <v>12000</v>
      </c>
      <c r="E15" s="88">
        <f>+D15/Q15*(CALC!$A$4)*1.1</f>
        <v>7260.7260726072618</v>
      </c>
      <c r="F15" s="61"/>
      <c r="G15" s="61">
        <v>5500</v>
      </c>
      <c r="H15" s="61">
        <v>100</v>
      </c>
      <c r="I15" s="61">
        <f>40502.58*0.75</f>
        <v>30376.935000000001</v>
      </c>
      <c r="J15" s="61">
        <v>59452.68</v>
      </c>
      <c r="K15" s="61">
        <f>+'1-10'!R33</f>
        <v>383</v>
      </c>
      <c r="L15" s="61"/>
      <c r="M15" s="61"/>
      <c r="N15" s="61">
        <f>SUM(E15:M15)</f>
        <v>103073.34107260726</v>
      </c>
      <c r="O15" s="56">
        <f>N15/CALC!$A$8*CALC!$A$6</f>
        <v>3769.5142785087455</v>
      </c>
      <c r="P15" s="61">
        <f>+N15+O15</f>
        <v>106842.85535111601</v>
      </c>
      <c r="Q15" s="72">
        <v>9.09</v>
      </c>
      <c r="R15" s="73"/>
    </row>
    <row r="16" spans="1:18">
      <c r="A16" s="77"/>
      <c r="B16" s="22"/>
      <c r="C16" s="33"/>
      <c r="D16" s="15"/>
      <c r="E16" s="54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55"/>
      <c r="R16" s="36"/>
    </row>
    <row r="17" spans="1:18">
      <c r="A17" s="22"/>
      <c r="B17" s="22"/>
      <c r="C17" s="33"/>
      <c r="D17" s="15"/>
      <c r="E17" s="22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55"/>
      <c r="R17" s="36"/>
    </row>
    <row r="18" spans="1:18" s="30" customFormat="1">
      <c r="A18" s="59"/>
      <c r="B18" s="4" t="s">
        <v>15</v>
      </c>
      <c r="C18" s="42"/>
      <c r="D18" s="28">
        <f t="shared" ref="D18:N18" si="1">SUM(D15:D17)</f>
        <v>12000</v>
      </c>
      <c r="E18" s="26">
        <f t="shared" si="1"/>
        <v>7260.7260726072618</v>
      </c>
      <c r="F18" s="26">
        <f t="shared" si="1"/>
        <v>0</v>
      </c>
      <c r="G18" s="26">
        <f t="shared" si="1"/>
        <v>5500</v>
      </c>
      <c r="H18" s="26">
        <f>SUM(H15:H17)</f>
        <v>100</v>
      </c>
      <c r="I18" s="26">
        <f t="shared" si="1"/>
        <v>30376.935000000001</v>
      </c>
      <c r="J18" s="26">
        <f t="shared" si="1"/>
        <v>59452.68</v>
      </c>
      <c r="K18" s="26">
        <f>SUM(K15:K17)</f>
        <v>383</v>
      </c>
      <c r="L18" s="26">
        <f t="shared" si="1"/>
        <v>0</v>
      </c>
      <c r="M18" s="26">
        <f>SUM(M15:M17)</f>
        <v>0</v>
      </c>
      <c r="N18" s="26">
        <f t="shared" si="1"/>
        <v>103073.34107260726</v>
      </c>
      <c r="O18" s="26">
        <f>N18/CALC!$A$8*CALC!$A$6</f>
        <v>3769.5142785087455</v>
      </c>
      <c r="P18" s="26">
        <f>+N18+O18</f>
        <v>106842.85535111601</v>
      </c>
      <c r="Q18" s="57"/>
      <c r="R18" s="197">
        <f>(+P18/D18)*(1+CALC!$A$2)</f>
        <v>9.1706784176374576</v>
      </c>
    </row>
    <row r="19" spans="1:18">
      <c r="R19" s="36"/>
    </row>
    <row r="20" spans="1:18" ht="12" thickBot="1">
      <c r="R20" s="36"/>
    </row>
    <row r="21" spans="1:18" s="30" customFormat="1" ht="12" thickBot="1">
      <c r="A21" s="66" t="s">
        <v>108</v>
      </c>
      <c r="B21" s="103" t="s">
        <v>15</v>
      </c>
      <c r="C21" s="104"/>
      <c r="D21" s="105">
        <f>+D11+D18</f>
        <v>27000</v>
      </c>
      <c r="E21" s="106">
        <f>+E11+E18</f>
        <v>19629.54166481116</v>
      </c>
      <c r="F21" s="106">
        <f t="shared" ref="F21:P21" si="2">+F11+F18</f>
        <v>0</v>
      </c>
      <c r="G21" s="106">
        <f t="shared" si="2"/>
        <v>11000</v>
      </c>
      <c r="H21" s="106">
        <f>+H11+H18</f>
        <v>200</v>
      </c>
      <c r="I21" s="106">
        <f t="shared" si="2"/>
        <v>50847.352500000001</v>
      </c>
      <c r="J21" s="106">
        <f>+J11+J18</f>
        <v>100697.76000000001</v>
      </c>
      <c r="K21" s="106">
        <f>+K11+K18</f>
        <v>712</v>
      </c>
      <c r="L21" s="106">
        <f>+L11+L18</f>
        <v>0</v>
      </c>
      <c r="M21" s="106">
        <f>+M11+M18</f>
        <v>0</v>
      </c>
      <c r="N21" s="106">
        <f t="shared" si="2"/>
        <v>183086.65416481116</v>
      </c>
      <c r="O21" s="106">
        <f t="shared" si="2"/>
        <v>6695.6959956550945</v>
      </c>
      <c r="P21" s="107">
        <f t="shared" si="2"/>
        <v>189782.35016046627</v>
      </c>
      <c r="Q21" s="67"/>
      <c r="R21" s="67"/>
    </row>
    <row r="24" spans="1:18">
      <c r="P24" s="90"/>
    </row>
    <row r="27" spans="1:18">
      <c r="E27" s="84"/>
    </row>
    <row r="29" spans="1:18">
      <c r="E29" s="27"/>
    </row>
    <row r="129" spans="6:6">
      <c r="F129" s="2">
        <f>SUM(F120:F128)</f>
        <v>0</v>
      </c>
    </row>
  </sheetData>
  <mergeCells count="2">
    <mergeCell ref="D6:F6"/>
    <mergeCell ref="D13:F13"/>
  </mergeCells>
  <phoneticPr fontId="0" type="noConversion"/>
  <pageMargins left="0.35433070866141736" right="0" top="0.39370078740157483" bottom="0" header="0" footer="0"/>
  <pageSetup paperSize="9" scale="8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 enableFormatConditionsCalculation="0">
    <tabColor indexed="46"/>
  </sheetPr>
  <dimension ref="A1:R493"/>
  <sheetViews>
    <sheetView zoomScaleSheetLayoutView="70" workbookViewId="0">
      <pane xSplit="3" ySplit="3" topLeftCell="D64" activePane="bottomRight" state="frozen"/>
      <selection activeCell="J41" sqref="J41"/>
      <selection pane="topRight" activeCell="J41" sqref="J41"/>
      <selection pane="bottomLeft" activeCell="J41" sqref="J41"/>
      <selection pane="bottomRight" activeCell="I150" sqref="I150"/>
    </sheetView>
  </sheetViews>
  <sheetFormatPr defaultColWidth="10" defaultRowHeight="11.25"/>
  <cols>
    <col min="1" max="1" width="16.7109375" style="2" customWidth="1"/>
    <col min="2" max="2" width="15.7109375" style="2" bestFit="1" customWidth="1"/>
    <col min="3" max="3" width="4.42578125" style="10" bestFit="1" customWidth="1"/>
    <col min="4" max="4" width="7.85546875" style="29" bestFit="1" customWidth="1"/>
    <col min="5" max="5" width="13.42578125" style="2" customWidth="1"/>
    <col min="6" max="7" width="11.28515625" style="2" bestFit="1" customWidth="1"/>
    <col min="8" max="8" width="11.28515625" style="2" hidden="1" customWidth="1"/>
    <col min="9" max="9" width="13.140625" style="2" bestFit="1" customWidth="1"/>
    <col min="10" max="10" width="13.140625" style="18" bestFit="1" customWidth="1"/>
    <col min="11" max="11" width="12.28515625" style="2" customWidth="1"/>
    <col min="12" max="12" width="11.28515625" style="2" hidden="1" customWidth="1"/>
    <col min="13" max="13" width="12.140625" style="2" hidden="1" customWidth="1"/>
    <col min="14" max="14" width="13.42578125" style="2" customWidth="1"/>
    <col min="15" max="15" width="11.28515625" style="2" bestFit="1" customWidth="1"/>
    <col min="16" max="16" width="13.140625" style="2" bestFit="1" customWidth="1"/>
    <col min="17" max="17" width="7" style="27" hidden="1" customWidth="1"/>
    <col min="18" max="18" width="7.85546875" style="53" bestFit="1" customWidth="1"/>
    <col min="19" max="16384" width="10" style="2"/>
  </cols>
  <sheetData>
    <row r="1" spans="1:18">
      <c r="A1" s="30" t="s">
        <v>278</v>
      </c>
      <c r="E1" s="2" t="s">
        <v>107</v>
      </c>
    </row>
    <row r="3" spans="1:18" s="30" customFormat="1" ht="33" customHeight="1">
      <c r="A3" s="92" t="s">
        <v>0</v>
      </c>
      <c r="B3" s="92" t="s">
        <v>1</v>
      </c>
      <c r="C3" s="93" t="s">
        <v>2</v>
      </c>
      <c r="D3" s="94" t="s">
        <v>3</v>
      </c>
      <c r="E3" s="123" t="s">
        <v>204</v>
      </c>
      <c r="F3" s="123" t="s">
        <v>192</v>
      </c>
      <c r="G3" s="123" t="s">
        <v>193</v>
      </c>
      <c r="H3" s="123" t="s">
        <v>194</v>
      </c>
      <c r="I3" s="123" t="s">
        <v>199</v>
      </c>
      <c r="J3" s="123" t="s">
        <v>195</v>
      </c>
      <c r="K3" s="123" t="s">
        <v>196</v>
      </c>
      <c r="L3" s="150" t="str">
        <f>+MM!L3</f>
        <v>REDEMPTION</v>
      </c>
      <c r="M3" s="150" t="str">
        <f>+MM!M3</f>
        <v>INTEREST</v>
      </c>
      <c r="N3" s="151" t="s">
        <v>13</v>
      </c>
      <c r="O3" s="123" t="s">
        <v>198</v>
      </c>
      <c r="P3" s="123" t="s">
        <v>197</v>
      </c>
      <c r="Q3" s="95" t="s">
        <v>89</v>
      </c>
      <c r="R3" s="96" t="s">
        <v>12</v>
      </c>
    </row>
    <row r="4" spans="1:18" ht="12" thickBot="1"/>
    <row r="5" spans="1:18" ht="12" thickBot="1">
      <c r="A5" s="97" t="s">
        <v>11</v>
      </c>
      <c r="B5" s="98" t="s">
        <v>667</v>
      </c>
      <c r="D5" s="381" t="s">
        <v>323</v>
      </c>
      <c r="E5" s="382"/>
      <c r="F5" s="383"/>
    </row>
    <row r="7" spans="1:18">
      <c r="A7" s="22"/>
      <c r="B7" s="22" t="s">
        <v>329</v>
      </c>
      <c r="C7" s="33">
        <v>279</v>
      </c>
      <c r="D7" s="70">
        <v>20000</v>
      </c>
      <c r="E7" s="54">
        <f>+D7/Q7*(CALC!$A$4)</f>
        <v>14285.714285714286</v>
      </c>
      <c r="F7" s="23">
        <v>0</v>
      </c>
      <c r="G7" s="23">
        <v>5481.62</v>
      </c>
      <c r="H7" s="23">
        <v>0</v>
      </c>
      <c r="I7" s="23">
        <v>28719.54</v>
      </c>
      <c r="J7" s="61">
        <f>+'1-10'!N13</f>
        <v>43159.44</v>
      </c>
      <c r="K7" s="23">
        <f>+'1-10'!R13</f>
        <v>329</v>
      </c>
      <c r="L7" s="23"/>
      <c r="M7" s="23"/>
      <c r="N7" s="23">
        <f>SUM(E7:M7)</f>
        <v>91975.314285714296</v>
      </c>
      <c r="O7" s="26">
        <f>N7/CALC!$A$8*CALC!$A$6</f>
        <v>3363.6462819819171</v>
      </c>
      <c r="P7" s="23">
        <f>+N7+O7</f>
        <v>95338.960567696209</v>
      </c>
      <c r="Q7" s="55">
        <v>7</v>
      </c>
      <c r="R7" s="36"/>
    </row>
    <row r="8" spans="1:18">
      <c r="A8" s="71"/>
      <c r="B8" s="22"/>
      <c r="C8" s="33"/>
      <c r="D8" s="15"/>
      <c r="E8" s="23"/>
      <c r="F8" s="23"/>
      <c r="G8" s="23"/>
      <c r="H8" s="23"/>
      <c r="I8" s="23"/>
      <c r="J8" s="61"/>
      <c r="K8" s="23"/>
      <c r="L8" s="23"/>
      <c r="M8" s="23"/>
      <c r="N8" s="23"/>
      <c r="O8" s="23"/>
      <c r="P8" s="23"/>
      <c r="Q8" s="55"/>
      <c r="R8" s="36"/>
    </row>
    <row r="9" spans="1:18" s="30" customFormat="1">
      <c r="A9" s="59"/>
      <c r="B9" s="4" t="s">
        <v>15</v>
      </c>
      <c r="C9" s="42"/>
      <c r="D9" s="28">
        <f t="shared" ref="D9:N9" si="0">SUM(D7:D8)</f>
        <v>20000</v>
      </c>
      <c r="E9" s="26">
        <f t="shared" si="0"/>
        <v>14285.714285714286</v>
      </c>
      <c r="F9" s="26">
        <f t="shared" si="0"/>
        <v>0</v>
      </c>
      <c r="G9" s="26">
        <f t="shared" si="0"/>
        <v>5481.62</v>
      </c>
      <c r="H9" s="26">
        <f t="shared" si="0"/>
        <v>0</v>
      </c>
      <c r="I9" s="26">
        <f t="shared" si="0"/>
        <v>28719.54</v>
      </c>
      <c r="J9" s="56">
        <f t="shared" si="0"/>
        <v>43159.44</v>
      </c>
      <c r="K9" s="26">
        <f t="shared" si="0"/>
        <v>329</v>
      </c>
      <c r="L9" s="26">
        <f t="shared" si="0"/>
        <v>0</v>
      </c>
      <c r="M9" s="26"/>
      <c r="N9" s="26">
        <f t="shared" si="0"/>
        <v>91975.314285714296</v>
      </c>
      <c r="O9" s="26">
        <f>+O7</f>
        <v>3363.6462819819171</v>
      </c>
      <c r="P9" s="26">
        <f>+N9+O9</f>
        <v>95338.960567696209</v>
      </c>
      <c r="Q9" s="57"/>
      <c r="R9" s="197">
        <f>(+P9/D9)*(1+CALC!$A$2)</f>
        <v>4.9099564692363549</v>
      </c>
    </row>
    <row r="10" spans="1:18" s="30" customFormat="1">
      <c r="A10" s="59"/>
      <c r="B10" s="59"/>
      <c r="C10" s="63"/>
      <c r="D10" s="64"/>
      <c r="E10" s="65"/>
      <c r="F10" s="65"/>
      <c r="G10" s="65"/>
      <c r="H10" s="65"/>
      <c r="I10" s="65"/>
      <c r="J10" s="40"/>
      <c r="K10" s="65"/>
      <c r="L10" s="65"/>
      <c r="M10" s="65"/>
      <c r="N10" s="65"/>
      <c r="O10" s="65"/>
      <c r="P10" s="65"/>
      <c r="Q10" s="65"/>
      <c r="R10" s="60"/>
    </row>
    <row r="11" spans="1:18" s="30" customFormat="1" ht="12" thickBot="1">
      <c r="A11" s="59"/>
      <c r="B11" s="59"/>
      <c r="C11" s="63"/>
      <c r="D11" s="64"/>
      <c r="E11" s="65"/>
      <c r="F11" s="65"/>
      <c r="G11" s="65"/>
      <c r="H11" s="65"/>
      <c r="I11" s="65"/>
      <c r="J11" s="40"/>
      <c r="K11" s="65"/>
      <c r="L11" s="65"/>
      <c r="M11" s="65"/>
      <c r="N11" s="65"/>
      <c r="O11" s="65"/>
      <c r="P11" s="65"/>
      <c r="Q11" s="65"/>
      <c r="R11" s="60"/>
    </row>
    <row r="12" spans="1:18" ht="12" thickBot="1">
      <c r="A12" s="97" t="s">
        <v>11</v>
      </c>
      <c r="B12" s="98" t="s">
        <v>668</v>
      </c>
      <c r="D12" s="381" t="s">
        <v>324</v>
      </c>
      <c r="E12" s="382"/>
      <c r="F12" s="383"/>
    </row>
    <row r="14" spans="1:18" s="19" customFormat="1">
      <c r="A14" s="3"/>
      <c r="B14" s="3" t="s">
        <v>330</v>
      </c>
      <c r="C14" s="206">
        <v>155</v>
      </c>
      <c r="D14" s="207">
        <v>5000</v>
      </c>
      <c r="E14" s="208">
        <f>+D14/Q14*(CALC!$A$4)</f>
        <v>3571.4285714285716</v>
      </c>
      <c r="F14" s="56"/>
      <c r="G14" s="56">
        <v>6057.27</v>
      </c>
      <c r="H14" s="56"/>
      <c r="I14" s="56">
        <v>41608.199999999997</v>
      </c>
      <c r="J14" s="56">
        <v>82710.12</v>
      </c>
      <c r="K14" s="56">
        <f>+'1-10'!R62</f>
        <v>636</v>
      </c>
      <c r="L14" s="56"/>
      <c r="M14" s="56"/>
      <c r="N14" s="56">
        <f>SUM(E14:M14)</f>
        <v>134583.01857142855</v>
      </c>
      <c r="O14" s="56">
        <f>N14/CALC!$A$8*CALC!$A$6</f>
        <v>4921.860539986229</v>
      </c>
      <c r="P14" s="56">
        <f>+N14+O14</f>
        <v>139504.87911141478</v>
      </c>
      <c r="Q14" s="74">
        <v>7</v>
      </c>
      <c r="R14" s="68"/>
    </row>
    <row r="15" spans="1:18" s="19" customFormat="1">
      <c r="A15" s="3"/>
      <c r="B15" s="3" t="s">
        <v>331</v>
      </c>
      <c r="C15" s="206">
        <v>140</v>
      </c>
      <c r="D15" s="207">
        <v>15000</v>
      </c>
      <c r="E15" s="208">
        <f>+D15/Q15*(CALC!$A$4)</f>
        <v>10714.285714285714</v>
      </c>
      <c r="F15" s="56"/>
      <c r="G15" s="56">
        <v>6057.27</v>
      </c>
      <c r="H15" s="56"/>
      <c r="I15" s="56">
        <v>41608.199999999997</v>
      </c>
      <c r="J15" s="56">
        <v>82710.12</v>
      </c>
      <c r="K15" s="56">
        <f>+'1-10'!R82</f>
        <v>636</v>
      </c>
      <c r="L15" s="56"/>
      <c r="M15" s="56"/>
      <c r="N15" s="56">
        <f t="shared" ref="N15:N16" si="1">SUM(E15:M15)</f>
        <v>141725.87571428571</v>
      </c>
      <c r="O15" s="56">
        <f>N15/CALC!$A$8*CALC!$A$6</f>
        <v>5183.0832936988654</v>
      </c>
      <c r="P15" s="56">
        <f t="shared" ref="P15:P16" si="2">+N15+O15</f>
        <v>146908.95900798458</v>
      </c>
      <c r="Q15" s="74">
        <v>7</v>
      </c>
      <c r="R15" s="68"/>
    </row>
    <row r="16" spans="1:18" s="19" customFormat="1">
      <c r="A16" s="3"/>
      <c r="B16" s="3" t="s">
        <v>332</v>
      </c>
      <c r="C16" s="206">
        <v>146</v>
      </c>
      <c r="D16" s="207">
        <v>15000</v>
      </c>
      <c r="E16" s="208">
        <f>+D16/Q16*(CALC!$A$4)</f>
        <v>10714.285714285714</v>
      </c>
      <c r="F16" s="56"/>
      <c r="G16" s="56">
        <v>6057.27</v>
      </c>
      <c r="H16" s="56"/>
      <c r="I16" s="56">
        <v>41608.199999999997</v>
      </c>
      <c r="J16" s="56">
        <v>82710.12</v>
      </c>
      <c r="K16" s="56">
        <f>+'1-10'!R83</f>
        <v>636</v>
      </c>
      <c r="L16" s="56"/>
      <c r="M16" s="56"/>
      <c r="N16" s="56">
        <f t="shared" si="1"/>
        <v>141725.87571428571</v>
      </c>
      <c r="O16" s="56">
        <f>N16/CALC!$A$8*CALC!$A$6</f>
        <v>5183.0832936988654</v>
      </c>
      <c r="P16" s="56">
        <f t="shared" si="2"/>
        <v>146908.95900798458</v>
      </c>
      <c r="Q16" s="74">
        <v>7</v>
      </c>
      <c r="R16" s="68"/>
    </row>
    <row r="17" spans="1:18">
      <c r="A17" s="71"/>
      <c r="B17" s="22"/>
      <c r="C17" s="33"/>
      <c r="D17" s="15"/>
      <c r="E17" s="23"/>
      <c r="F17" s="23"/>
      <c r="G17" s="23"/>
      <c r="H17" s="23"/>
      <c r="I17" s="23"/>
      <c r="J17" s="61"/>
      <c r="K17" s="23"/>
      <c r="L17" s="23"/>
      <c r="M17" s="23"/>
      <c r="N17" s="23"/>
      <c r="O17" s="23"/>
      <c r="P17" s="23"/>
      <c r="Q17" s="55"/>
      <c r="R17" s="36"/>
    </row>
    <row r="18" spans="1:18" s="30" customFormat="1">
      <c r="A18" s="59"/>
      <c r="B18" s="4" t="s">
        <v>15</v>
      </c>
      <c r="C18" s="42"/>
      <c r="D18" s="28">
        <f t="shared" ref="D18:N18" si="3">SUM(D14:D17)</f>
        <v>35000</v>
      </c>
      <c r="E18" s="26">
        <f t="shared" si="3"/>
        <v>25000</v>
      </c>
      <c r="F18" s="26">
        <f t="shared" si="3"/>
        <v>0</v>
      </c>
      <c r="G18" s="26">
        <f t="shared" si="3"/>
        <v>18171.810000000001</v>
      </c>
      <c r="H18" s="26">
        <f t="shared" si="3"/>
        <v>0</v>
      </c>
      <c r="I18" s="26">
        <f t="shared" si="3"/>
        <v>124824.59999999999</v>
      </c>
      <c r="J18" s="56">
        <f t="shared" si="3"/>
        <v>248130.36</v>
      </c>
      <c r="K18" s="26">
        <f t="shared" si="3"/>
        <v>1908</v>
      </c>
      <c r="L18" s="26">
        <f>SUM(L14:L17)</f>
        <v>0</v>
      </c>
      <c r="M18" s="26"/>
      <c r="N18" s="26">
        <f t="shared" si="3"/>
        <v>418034.76999999996</v>
      </c>
      <c r="O18" s="26">
        <f>+O14</f>
        <v>4921.860539986229</v>
      </c>
      <c r="P18" s="26">
        <f>+N18+O18</f>
        <v>422956.63053998619</v>
      </c>
      <c r="Q18" s="57"/>
      <c r="R18" s="197">
        <f>(+P18/D18)*(1+CALC!$A$2)</f>
        <v>12.44700941303388</v>
      </c>
    </row>
    <row r="19" spans="1:18" s="30" customFormat="1">
      <c r="A19" s="59"/>
      <c r="B19" s="59"/>
      <c r="C19" s="63"/>
      <c r="D19" s="64"/>
      <c r="E19" s="65"/>
      <c r="F19" s="65"/>
      <c r="G19" s="65"/>
      <c r="H19" s="65"/>
      <c r="I19" s="65"/>
      <c r="J19" s="40"/>
      <c r="K19" s="65"/>
      <c r="L19" s="65"/>
      <c r="M19" s="65"/>
      <c r="N19" s="65"/>
      <c r="O19" s="65"/>
      <c r="P19" s="65"/>
      <c r="Q19" s="65"/>
      <c r="R19" s="60"/>
    </row>
    <row r="20" spans="1:18" s="30" customFormat="1" ht="12" thickBot="1">
      <c r="A20" s="59"/>
      <c r="B20" s="59"/>
      <c r="C20" s="63"/>
      <c r="D20" s="64"/>
      <c r="E20" s="65"/>
      <c r="F20" s="65"/>
      <c r="G20" s="65"/>
      <c r="H20" s="65"/>
      <c r="I20" s="65"/>
      <c r="J20" s="40"/>
      <c r="K20" s="65"/>
      <c r="L20" s="65"/>
      <c r="M20" s="65"/>
      <c r="N20" s="65"/>
      <c r="O20" s="65"/>
      <c r="P20" s="65"/>
      <c r="Q20" s="65"/>
      <c r="R20" s="60"/>
    </row>
    <row r="21" spans="1:18" ht="12" thickBot="1">
      <c r="A21" s="97" t="s">
        <v>11</v>
      </c>
      <c r="B21" s="98" t="s">
        <v>669</v>
      </c>
      <c r="D21" s="381" t="s">
        <v>309</v>
      </c>
      <c r="E21" s="382"/>
      <c r="F21" s="383"/>
      <c r="R21" s="36"/>
    </row>
    <row r="22" spans="1:18">
      <c r="R22" s="36"/>
    </row>
    <row r="23" spans="1:18" s="18" customFormat="1">
      <c r="A23" s="87"/>
      <c r="B23" s="87" t="s">
        <v>333</v>
      </c>
      <c r="C23" s="78">
        <v>46</v>
      </c>
      <c r="D23" s="70">
        <v>15000</v>
      </c>
      <c r="E23" s="88">
        <f>+D23/Q23*(CALC!$A$4)</f>
        <v>37500</v>
      </c>
      <c r="F23" s="61"/>
      <c r="G23" s="61">
        <v>6057.27</v>
      </c>
      <c r="H23" s="61">
        <v>0</v>
      </c>
      <c r="I23" s="61">
        <v>53491.67</v>
      </c>
      <c r="J23" s="61">
        <v>98657.04</v>
      </c>
      <c r="K23" s="61">
        <f>+'1-10'!R37</f>
        <v>1838</v>
      </c>
      <c r="L23" s="61"/>
      <c r="M23" s="61"/>
      <c r="N23" s="61">
        <f>SUM(E23:M23)</f>
        <v>197543.97999999998</v>
      </c>
      <c r="O23" s="56">
        <f>N23/CALC!$A$8*CALC!$A$6</f>
        <v>7224.4175408935344</v>
      </c>
      <c r="P23" s="61">
        <f>+N23+O23</f>
        <v>204768.39754089352</v>
      </c>
      <c r="Q23" s="72">
        <v>2</v>
      </c>
      <c r="R23" s="73"/>
    </row>
    <row r="24" spans="1:18" s="18" customFormat="1">
      <c r="A24" s="87"/>
      <c r="B24" s="87" t="s">
        <v>334</v>
      </c>
      <c r="C24" s="78">
        <v>73</v>
      </c>
      <c r="D24" s="70">
        <v>10000</v>
      </c>
      <c r="E24" s="88">
        <f>+D24/Q24*(CALC!$A$4)</f>
        <v>25000</v>
      </c>
      <c r="F24" s="61"/>
      <c r="G24" s="61">
        <v>6057.27</v>
      </c>
      <c r="H24" s="61">
        <v>0</v>
      </c>
      <c r="I24" s="61">
        <v>53491.67</v>
      </c>
      <c r="J24" s="61">
        <v>98657.04</v>
      </c>
      <c r="K24" s="61">
        <f>+'1-10'!R46</f>
        <v>1838</v>
      </c>
      <c r="L24" s="61"/>
      <c r="M24" s="61"/>
      <c r="N24" s="61">
        <f>SUM(E24:M24)</f>
        <v>185043.97999999998</v>
      </c>
      <c r="O24" s="56">
        <f>N24/CALC!$A$8*CALC!$A$6</f>
        <v>6767.2777218964229</v>
      </c>
      <c r="P24" s="61">
        <f>+N24+O24</f>
        <v>191811.2577218964</v>
      </c>
      <c r="Q24" s="72">
        <v>2</v>
      </c>
      <c r="R24" s="73"/>
    </row>
    <row r="25" spans="1:18" s="18" customFormat="1">
      <c r="A25" s="87"/>
      <c r="B25" s="87"/>
      <c r="C25" s="78"/>
      <c r="D25" s="70"/>
      <c r="E25" s="88"/>
      <c r="F25" s="61"/>
      <c r="G25" s="61"/>
      <c r="H25" s="61"/>
      <c r="I25" s="61"/>
      <c r="J25" s="61"/>
      <c r="K25" s="61"/>
      <c r="L25" s="61"/>
      <c r="M25" s="61"/>
      <c r="N25" s="61"/>
      <c r="O25" s="56"/>
      <c r="P25" s="61"/>
      <c r="Q25" s="72"/>
      <c r="R25" s="73"/>
    </row>
    <row r="26" spans="1:18" s="18" customFormat="1">
      <c r="A26" s="215"/>
      <c r="B26" s="87"/>
      <c r="C26" s="78"/>
      <c r="D26" s="70"/>
      <c r="E26" s="87"/>
      <c r="F26" s="61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72"/>
      <c r="R26" s="73"/>
    </row>
    <row r="27" spans="1:18" s="30" customFormat="1">
      <c r="A27" s="59"/>
      <c r="B27" s="4" t="s">
        <v>15</v>
      </c>
      <c r="C27" s="42"/>
      <c r="D27" s="28">
        <f t="shared" ref="D27:N27" si="4">SUM(D23:D26)</f>
        <v>25000</v>
      </c>
      <c r="E27" s="26">
        <f t="shared" si="4"/>
        <v>62500</v>
      </c>
      <c r="F27" s="26">
        <f t="shared" si="4"/>
        <v>0</v>
      </c>
      <c r="G27" s="26">
        <f t="shared" si="4"/>
        <v>12114.54</v>
      </c>
      <c r="H27" s="26">
        <f t="shared" si="4"/>
        <v>0</v>
      </c>
      <c r="I27" s="26">
        <f t="shared" si="4"/>
        <v>106983.34</v>
      </c>
      <c r="J27" s="56">
        <f t="shared" si="4"/>
        <v>197314.08</v>
      </c>
      <c r="K27" s="26">
        <f t="shared" si="4"/>
        <v>3676</v>
      </c>
      <c r="L27" s="26">
        <f t="shared" si="4"/>
        <v>0</v>
      </c>
      <c r="M27" s="26"/>
      <c r="N27" s="26">
        <f t="shared" si="4"/>
        <v>382587.95999999996</v>
      </c>
      <c r="O27" s="26">
        <f>N27/CALC!$A$8*CALC!$A$6</f>
        <v>13991.695262789957</v>
      </c>
      <c r="P27" s="26">
        <f>+N27+O27</f>
        <v>396579.65526278992</v>
      </c>
      <c r="Q27" s="74"/>
      <c r="R27" s="197">
        <f>(+P27/D27)*(1+CALC!$A$2)</f>
        <v>16.339081796826946</v>
      </c>
    </row>
    <row r="28" spans="1:18" s="30" customFormat="1" ht="12" thickBot="1">
      <c r="A28" s="59"/>
      <c r="B28" s="59"/>
      <c r="C28" s="63"/>
      <c r="D28" s="64"/>
      <c r="E28" s="65"/>
      <c r="F28" s="65"/>
      <c r="G28" s="65"/>
      <c r="H28" s="65"/>
      <c r="I28" s="65"/>
      <c r="J28" s="40"/>
      <c r="K28" s="65"/>
      <c r="L28" s="65"/>
      <c r="M28" s="65"/>
      <c r="N28" s="65"/>
      <c r="O28" s="65"/>
      <c r="P28" s="65"/>
      <c r="Q28" s="40"/>
      <c r="R28" s="75"/>
    </row>
    <row r="29" spans="1:18" ht="12" thickBot="1">
      <c r="A29" s="97" t="s">
        <v>11</v>
      </c>
      <c r="B29" s="98" t="s">
        <v>670</v>
      </c>
      <c r="D29" s="381" t="s">
        <v>325</v>
      </c>
      <c r="E29" s="382"/>
      <c r="F29" s="383"/>
      <c r="R29" s="36"/>
    </row>
    <row r="30" spans="1:18">
      <c r="R30" s="36"/>
    </row>
    <row r="31" spans="1:18" s="18" customFormat="1">
      <c r="A31" s="87"/>
      <c r="B31" s="87" t="s">
        <v>335</v>
      </c>
      <c r="C31" s="78">
        <v>116</v>
      </c>
      <c r="D31" s="70">
        <v>15000</v>
      </c>
      <c r="E31" s="88">
        <f>+D31/Q31*(CALC!$A$4)</f>
        <v>37500</v>
      </c>
      <c r="F31" s="61"/>
      <c r="G31" s="61">
        <v>6057.27</v>
      </c>
      <c r="H31" s="61">
        <v>0</v>
      </c>
      <c r="I31" s="61">
        <v>59578.38</v>
      </c>
      <c r="J31" s="61">
        <v>122545.32</v>
      </c>
      <c r="K31" s="61">
        <f>+'1-10'!R50</f>
        <v>1838</v>
      </c>
      <c r="L31" s="61"/>
      <c r="M31" s="61"/>
      <c r="N31" s="61">
        <f>SUM(E31:M31)</f>
        <v>227518.97</v>
      </c>
      <c r="O31" s="56">
        <f>N31/CALC!$A$8*CALC!$A$6</f>
        <v>8320.6384611367557</v>
      </c>
      <c r="P31" s="61">
        <f>+N31+O31</f>
        <v>235839.60846113676</v>
      </c>
      <c r="Q31" s="72">
        <v>2</v>
      </c>
      <c r="R31" s="73"/>
    </row>
    <row r="32" spans="1:18" s="18" customFormat="1">
      <c r="A32" s="215"/>
      <c r="B32" s="87"/>
      <c r="C32" s="78"/>
      <c r="D32" s="70"/>
      <c r="E32" s="87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72"/>
      <c r="R32" s="73"/>
    </row>
    <row r="33" spans="1:18" s="19" customFormat="1">
      <c r="A33" s="89"/>
      <c r="B33" s="3" t="s">
        <v>15</v>
      </c>
      <c r="C33" s="206"/>
      <c r="D33" s="207">
        <f t="shared" ref="D33:N33" si="5">SUM(D31:D32)</f>
        <v>15000</v>
      </c>
      <c r="E33" s="56">
        <f t="shared" si="5"/>
        <v>37500</v>
      </c>
      <c r="F33" s="56">
        <f t="shared" si="5"/>
        <v>0</v>
      </c>
      <c r="G33" s="56">
        <f t="shared" si="5"/>
        <v>6057.27</v>
      </c>
      <c r="H33" s="56">
        <f t="shared" si="5"/>
        <v>0</v>
      </c>
      <c r="I33" s="56">
        <f t="shared" si="5"/>
        <v>59578.38</v>
      </c>
      <c r="J33" s="56">
        <f t="shared" si="5"/>
        <v>122545.32</v>
      </c>
      <c r="K33" s="56">
        <f t="shared" si="5"/>
        <v>1838</v>
      </c>
      <c r="L33" s="56">
        <f t="shared" si="5"/>
        <v>0</v>
      </c>
      <c r="M33" s="56"/>
      <c r="N33" s="56">
        <f t="shared" si="5"/>
        <v>227518.97</v>
      </c>
      <c r="O33" s="56">
        <f>N33/CALC!$A$8*CALC!$A$6</f>
        <v>8320.6384611367557</v>
      </c>
      <c r="P33" s="56">
        <f>+N33+O33</f>
        <v>235839.60846113676</v>
      </c>
      <c r="Q33" s="74"/>
      <c r="R33" s="197">
        <f>(+P33/D33)*(1+CALC!$A$2)</f>
        <v>16.194319780998057</v>
      </c>
    </row>
    <row r="34" spans="1:18" s="30" customFormat="1" ht="12" thickBot="1">
      <c r="A34" s="59"/>
      <c r="B34" s="59"/>
      <c r="C34" s="63"/>
      <c r="D34" s="64"/>
      <c r="E34" s="65"/>
      <c r="F34" s="65"/>
      <c r="G34" s="65"/>
      <c r="H34" s="65"/>
      <c r="I34" s="65"/>
      <c r="J34" s="40"/>
      <c r="K34" s="65"/>
      <c r="L34" s="65"/>
      <c r="M34" s="65"/>
      <c r="N34" s="65"/>
      <c r="O34" s="65"/>
      <c r="P34" s="65"/>
      <c r="Q34" s="40"/>
      <c r="R34" s="75"/>
    </row>
    <row r="35" spans="1:18" ht="12" thickBot="1">
      <c r="A35" s="97" t="s">
        <v>11</v>
      </c>
      <c r="B35" s="98" t="s">
        <v>671</v>
      </c>
      <c r="D35" s="381" t="s">
        <v>326</v>
      </c>
      <c r="E35" s="382"/>
      <c r="F35" s="383"/>
      <c r="R35" s="36"/>
    </row>
    <row r="36" spans="1:18">
      <c r="R36" s="36"/>
    </row>
    <row r="37" spans="1:18" s="18" customFormat="1">
      <c r="A37" s="87"/>
      <c r="B37" s="87" t="s">
        <v>336</v>
      </c>
      <c r="C37" s="78">
        <v>169</v>
      </c>
      <c r="D37" s="70">
        <v>5000</v>
      </c>
      <c r="E37" s="88">
        <f>+D37/Q37*(CALC!$A$4)</f>
        <v>12500</v>
      </c>
      <c r="F37" s="61"/>
      <c r="G37" s="61">
        <v>6057.27</v>
      </c>
      <c r="H37" s="61">
        <v>0</v>
      </c>
      <c r="I37" s="61">
        <v>80330.59</v>
      </c>
      <c r="J37" s="61">
        <v>145688.4</v>
      </c>
      <c r="K37" s="61">
        <f>+'1-10'!R70</f>
        <v>3202</v>
      </c>
      <c r="L37" s="61"/>
      <c r="M37" s="61"/>
      <c r="N37" s="61">
        <f>SUM(E37:M37)</f>
        <v>247778.26</v>
      </c>
      <c r="O37" s="56">
        <f>N37/CALC!$A$8*CALC!$A$6</f>
        <v>9061.544714225558</v>
      </c>
      <c r="P37" s="61">
        <f>+N37+O37</f>
        <v>256839.80471422558</v>
      </c>
      <c r="Q37" s="72">
        <v>2</v>
      </c>
      <c r="R37" s="73"/>
    </row>
    <row r="38" spans="1:18" s="18" customFormat="1">
      <c r="A38" s="87"/>
      <c r="B38" s="87" t="s">
        <v>337</v>
      </c>
      <c r="C38" s="78">
        <v>170</v>
      </c>
      <c r="D38" s="70">
        <v>15000</v>
      </c>
      <c r="E38" s="88">
        <f>+D38/Q38*(CALC!$A$4)</f>
        <v>37500</v>
      </c>
      <c r="F38" s="61"/>
      <c r="G38" s="61">
        <v>6057.27</v>
      </c>
      <c r="H38" s="61">
        <v>0</v>
      </c>
      <c r="I38" s="61">
        <v>80330.59</v>
      </c>
      <c r="J38" s="61">
        <v>145688.4</v>
      </c>
      <c r="K38" s="61">
        <f>+'1-10'!R71</f>
        <v>3202</v>
      </c>
      <c r="L38" s="61"/>
      <c r="M38" s="61"/>
      <c r="N38" s="61">
        <f>SUM(E38:M38)</f>
        <v>272778.26</v>
      </c>
      <c r="O38" s="56">
        <f>N38/CALC!$A$8*CALC!$A$6</f>
        <v>9975.8243522197808</v>
      </c>
      <c r="P38" s="61">
        <f>+N38+O38</f>
        <v>282754.08435221977</v>
      </c>
      <c r="Q38" s="72">
        <v>2</v>
      </c>
      <c r="R38" s="73"/>
    </row>
    <row r="39" spans="1:18" s="18" customFormat="1">
      <c r="A39" s="215"/>
      <c r="B39" s="87"/>
      <c r="C39" s="78"/>
      <c r="D39" s="70"/>
      <c r="E39" s="87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72"/>
      <c r="R39" s="73"/>
    </row>
    <row r="40" spans="1:18" s="19" customFormat="1">
      <c r="A40" s="89"/>
      <c r="B40" s="3" t="s">
        <v>15</v>
      </c>
      <c r="C40" s="206"/>
      <c r="D40" s="207">
        <f t="shared" ref="D40:N40" si="6">SUM(D37:D39)</f>
        <v>20000</v>
      </c>
      <c r="E40" s="56">
        <f t="shared" si="6"/>
        <v>50000</v>
      </c>
      <c r="F40" s="56">
        <f t="shared" si="6"/>
        <v>0</v>
      </c>
      <c r="G40" s="56">
        <f t="shared" si="6"/>
        <v>12114.54</v>
      </c>
      <c r="H40" s="56">
        <f t="shared" si="6"/>
        <v>0</v>
      </c>
      <c r="I40" s="56">
        <f t="shared" si="6"/>
        <v>160661.18</v>
      </c>
      <c r="J40" s="56">
        <f t="shared" si="6"/>
        <v>291376.8</v>
      </c>
      <c r="K40" s="56">
        <f t="shared" si="6"/>
        <v>6404</v>
      </c>
      <c r="L40" s="56">
        <f t="shared" si="6"/>
        <v>0</v>
      </c>
      <c r="M40" s="56"/>
      <c r="N40" s="56">
        <f t="shared" si="6"/>
        <v>520556.52</v>
      </c>
      <c r="O40" s="56">
        <f>N40/CALC!$A$8*CALC!$A$6</f>
        <v>19037.369066445339</v>
      </c>
      <c r="P40" s="56">
        <f>+N40+O40</f>
        <v>539593.88906644541</v>
      </c>
      <c r="Q40" s="74"/>
      <c r="R40" s="197">
        <f>(+P40/D40)*(1+CALC!$A$2)</f>
        <v>27.789085286921939</v>
      </c>
    </row>
    <row r="41" spans="1:18" ht="12" thickBot="1">
      <c r="R41" s="36"/>
    </row>
    <row r="42" spans="1:18" ht="12" thickBot="1">
      <c r="A42" s="97" t="s">
        <v>11</v>
      </c>
      <c r="B42" s="98" t="s">
        <v>154</v>
      </c>
      <c r="D42" s="381" t="s">
        <v>18</v>
      </c>
      <c r="E42" s="382"/>
      <c r="F42" s="383"/>
      <c r="R42" s="36"/>
    </row>
    <row r="43" spans="1:18">
      <c r="R43" s="36"/>
    </row>
    <row r="44" spans="1:18">
      <c r="A44" s="22" t="s">
        <v>29</v>
      </c>
      <c r="B44" s="22" t="s">
        <v>33</v>
      </c>
      <c r="C44" s="33">
        <v>78</v>
      </c>
      <c r="D44" s="15">
        <v>600</v>
      </c>
      <c r="E44" s="54">
        <f>+D44/Q44*(CALC!$A$4)</f>
        <v>11538.461538461539</v>
      </c>
      <c r="F44" s="23">
        <v>1200</v>
      </c>
      <c r="G44" s="23">
        <v>2800</v>
      </c>
      <c r="H44" s="23">
        <v>8330</v>
      </c>
      <c r="I44" s="23"/>
      <c r="J44" s="61"/>
      <c r="K44" s="23">
        <f>107+36</f>
        <v>143</v>
      </c>
      <c r="L44" s="23"/>
      <c r="M44" s="23"/>
      <c r="N44" s="23">
        <f t="shared" ref="N44:N50" si="7">SUM(E44:M44)</f>
        <v>24011.461538461539</v>
      </c>
      <c r="O44" s="26">
        <f>N44/CALC!$A$8*CALC!$A$6</f>
        <v>878.12761452387463</v>
      </c>
      <c r="P44" s="23">
        <f t="shared" ref="P44:P50" si="8">+N44+O44</f>
        <v>24889.589152985413</v>
      </c>
      <c r="Q44" s="55">
        <v>0.26</v>
      </c>
      <c r="R44" s="36"/>
    </row>
    <row r="45" spans="1:18">
      <c r="A45" s="22" t="s">
        <v>130</v>
      </c>
      <c r="B45" s="22" t="s">
        <v>33</v>
      </c>
      <c r="C45" s="33">
        <v>82</v>
      </c>
      <c r="D45" s="15">
        <v>100</v>
      </c>
      <c r="E45" s="54">
        <f>+D45/Q45*(CALC!$A$4)</f>
        <v>1666.666666666667</v>
      </c>
      <c r="F45" s="23">
        <f>1835*1.045*1.045</f>
        <v>2003.8658749999997</v>
      </c>
      <c r="G45" s="23">
        <v>756</v>
      </c>
      <c r="H45" s="23">
        <f>13416*1.045*1.045</f>
        <v>14650.607399999999</v>
      </c>
      <c r="I45" s="23"/>
      <c r="J45" s="23"/>
      <c r="K45" s="23">
        <f t="shared" ref="K45:K49" si="9">107+36</f>
        <v>143</v>
      </c>
      <c r="L45" s="23"/>
      <c r="M45" s="23"/>
      <c r="N45" s="23">
        <f>SUM(E45:M45)</f>
        <v>19220.139941666665</v>
      </c>
      <c r="O45" s="26">
        <f>N45/CALC!$A$8*CALC!$A$6</f>
        <v>702.90330352261356</v>
      </c>
      <c r="P45" s="23">
        <f>+N45+O45</f>
        <v>19923.043245189278</v>
      </c>
      <c r="Q45" s="55">
        <v>0.3</v>
      </c>
      <c r="R45" s="36"/>
    </row>
    <row r="46" spans="1:18">
      <c r="A46" s="22" t="s">
        <v>30</v>
      </c>
      <c r="B46" s="22" t="s">
        <v>33</v>
      </c>
      <c r="C46" s="33">
        <v>83</v>
      </c>
      <c r="D46" s="70">
        <v>600</v>
      </c>
      <c r="E46" s="54">
        <f>+D46/Q46*(CALC!$A$4)</f>
        <v>13636.363636363638</v>
      </c>
      <c r="F46" s="23">
        <v>2000</v>
      </c>
      <c r="G46" s="23">
        <v>1800</v>
      </c>
      <c r="H46" s="23">
        <v>4882</v>
      </c>
      <c r="I46" s="23"/>
      <c r="J46" s="61"/>
      <c r="K46" s="23">
        <f t="shared" si="9"/>
        <v>143</v>
      </c>
      <c r="L46" s="23"/>
      <c r="M46" s="23"/>
      <c r="N46" s="23">
        <f t="shared" si="7"/>
        <v>22461.36363636364</v>
      </c>
      <c r="O46" s="26">
        <f>N46/CALC!$A$8*CALC!$A$6</f>
        <v>821.43869657244761</v>
      </c>
      <c r="P46" s="23">
        <f t="shared" si="8"/>
        <v>23282.802332936088</v>
      </c>
      <c r="Q46" s="55">
        <v>0.22</v>
      </c>
      <c r="R46" s="36"/>
    </row>
    <row r="47" spans="1:18">
      <c r="A47" s="22" t="s">
        <v>25</v>
      </c>
      <c r="B47" s="22" t="s">
        <v>34</v>
      </c>
      <c r="C47" s="33">
        <v>124</v>
      </c>
      <c r="D47" s="70">
        <v>100</v>
      </c>
      <c r="E47" s="54">
        <f>+D47/Q47*(CALC!$A$4)</f>
        <v>1282.051282051282</v>
      </c>
      <c r="F47" s="23">
        <v>0</v>
      </c>
      <c r="G47" s="23">
        <v>2000</v>
      </c>
      <c r="H47" s="23">
        <v>0</v>
      </c>
      <c r="I47" s="23"/>
      <c r="J47" s="61"/>
      <c r="K47" s="23">
        <f t="shared" si="9"/>
        <v>143</v>
      </c>
      <c r="L47" s="23"/>
      <c r="M47" s="23"/>
      <c r="N47" s="23">
        <f t="shared" si="7"/>
        <v>3425.0512820512822</v>
      </c>
      <c r="O47" s="26">
        <f>N47/CALC!$A$8*CALC!$A$6</f>
        <v>125.25818585062008</v>
      </c>
      <c r="P47" s="23">
        <f t="shared" si="8"/>
        <v>3550.3094679019023</v>
      </c>
      <c r="Q47" s="55">
        <v>0.39</v>
      </c>
      <c r="R47" s="36"/>
    </row>
    <row r="48" spans="1:18">
      <c r="A48" s="22" t="s">
        <v>31</v>
      </c>
      <c r="B48" s="22" t="s">
        <v>35</v>
      </c>
      <c r="C48" s="33">
        <v>151</v>
      </c>
      <c r="D48" s="70">
        <v>200</v>
      </c>
      <c r="E48" s="54">
        <f>+D48/Q48*(CALC!$A$4)</f>
        <v>3333.3333333333339</v>
      </c>
      <c r="F48" s="23">
        <v>3500</v>
      </c>
      <c r="G48" s="23">
        <v>3000</v>
      </c>
      <c r="H48" s="23">
        <v>5000</v>
      </c>
      <c r="I48" s="23"/>
      <c r="J48" s="61"/>
      <c r="K48" s="23">
        <f t="shared" si="9"/>
        <v>143</v>
      </c>
      <c r="L48" s="23"/>
      <c r="M48" s="23"/>
      <c r="N48" s="23">
        <f t="shared" si="7"/>
        <v>14976.333333333334</v>
      </c>
      <c r="O48" s="26">
        <f>N48/CALC!$A$8*CALC!$A$6</f>
        <v>547.70226473923367</v>
      </c>
      <c r="P48" s="23">
        <f t="shared" si="8"/>
        <v>15524.035598072567</v>
      </c>
      <c r="Q48" s="55">
        <v>0.3</v>
      </c>
      <c r="R48" s="36"/>
    </row>
    <row r="49" spans="1:18">
      <c r="A49" s="22" t="s">
        <v>32</v>
      </c>
      <c r="B49" s="22" t="s">
        <v>35</v>
      </c>
      <c r="C49" s="33">
        <v>408</v>
      </c>
      <c r="D49" s="15">
        <v>200</v>
      </c>
      <c r="E49" s="54">
        <f>+D49/Q49*(CALC!$A$4)</f>
        <v>3333.3333333333339</v>
      </c>
      <c r="F49" s="23">
        <v>3000</v>
      </c>
      <c r="G49" s="23">
        <v>3000</v>
      </c>
      <c r="H49" s="23">
        <v>10000</v>
      </c>
      <c r="I49" s="23"/>
      <c r="J49" s="61"/>
      <c r="K49" s="23">
        <f t="shared" si="9"/>
        <v>143</v>
      </c>
      <c r="L49" s="23"/>
      <c r="M49" s="23"/>
      <c r="N49" s="23">
        <f t="shared" si="7"/>
        <v>19476.333333333336</v>
      </c>
      <c r="O49" s="26">
        <f>N49/CALC!$A$8*CALC!$A$6</f>
        <v>712.27259957819422</v>
      </c>
      <c r="P49" s="23">
        <f t="shared" si="8"/>
        <v>20188.605932911531</v>
      </c>
      <c r="Q49" s="55">
        <v>0.3</v>
      </c>
      <c r="R49" s="36"/>
    </row>
    <row r="50" spans="1:18">
      <c r="A50" s="71"/>
      <c r="B50" s="22"/>
      <c r="C50" s="33"/>
      <c r="D50" s="15"/>
      <c r="E50" s="23"/>
      <c r="F50" s="23"/>
      <c r="G50" s="23"/>
      <c r="H50" s="23"/>
      <c r="I50" s="23"/>
      <c r="J50" s="61"/>
      <c r="K50" s="23"/>
      <c r="L50" s="23"/>
      <c r="M50" s="23"/>
      <c r="N50" s="23">
        <f t="shared" si="7"/>
        <v>0</v>
      </c>
      <c r="O50" s="23"/>
      <c r="P50" s="23">
        <f t="shared" si="8"/>
        <v>0</v>
      </c>
      <c r="Q50" s="55"/>
      <c r="R50" s="36"/>
    </row>
    <row r="51" spans="1:18" s="30" customFormat="1">
      <c r="A51" s="59"/>
      <c r="B51" s="4" t="s">
        <v>15</v>
      </c>
      <c r="C51" s="42"/>
      <c r="D51" s="28">
        <f t="shared" ref="D51:N51" si="10">SUM(D44:D50)</f>
        <v>1800</v>
      </c>
      <c r="E51" s="26">
        <f t="shared" si="10"/>
        <v>34790.209790209796</v>
      </c>
      <c r="F51" s="26">
        <f t="shared" si="10"/>
        <v>11703.865875</v>
      </c>
      <c r="G51" s="26">
        <f t="shared" si="10"/>
        <v>13356</v>
      </c>
      <c r="H51" s="26">
        <f t="shared" si="10"/>
        <v>42862.607400000001</v>
      </c>
      <c r="I51" s="26">
        <f t="shared" si="10"/>
        <v>0</v>
      </c>
      <c r="J51" s="56">
        <f t="shared" si="10"/>
        <v>0</v>
      </c>
      <c r="K51" s="26">
        <f t="shared" si="10"/>
        <v>858</v>
      </c>
      <c r="L51" s="26">
        <f>SUM(L44:L50)</f>
        <v>0</v>
      </c>
      <c r="M51" s="26"/>
      <c r="N51" s="26">
        <f t="shared" si="10"/>
        <v>103570.68306520977</v>
      </c>
      <c r="O51" s="26">
        <f>N51/CALC!$A$8*CALC!$A$6</f>
        <v>3787.7026647869834</v>
      </c>
      <c r="P51" s="26">
        <f>+N51+O51</f>
        <v>107358.38572999675</v>
      </c>
      <c r="Q51" s="57"/>
      <c r="R51" s="197">
        <f>(+P51/D51)*(1+CALC!$A$2)</f>
        <v>61.432854056609251</v>
      </c>
    </row>
    <row r="52" spans="1:18" ht="12" thickBot="1">
      <c r="R52" s="36"/>
    </row>
    <row r="53" spans="1:18" ht="12" thickBot="1">
      <c r="A53" s="97" t="s">
        <v>11</v>
      </c>
      <c r="B53" s="98" t="s">
        <v>155</v>
      </c>
      <c r="D53" s="381" t="s">
        <v>16</v>
      </c>
      <c r="E53" s="382"/>
      <c r="F53" s="383"/>
      <c r="R53" s="36"/>
    </row>
    <row r="54" spans="1:18">
      <c r="R54" s="36"/>
    </row>
    <row r="55" spans="1:18">
      <c r="A55" s="22" t="s">
        <v>36</v>
      </c>
      <c r="B55" s="22" t="s">
        <v>40</v>
      </c>
      <c r="C55" s="33">
        <v>94</v>
      </c>
      <c r="D55" s="15"/>
      <c r="E55" s="54"/>
      <c r="F55" s="23"/>
      <c r="G55" s="23">
        <v>710</v>
      </c>
      <c r="H55" s="23">
        <v>2500</v>
      </c>
      <c r="I55" s="23"/>
      <c r="J55" s="61"/>
      <c r="K55" s="23">
        <v>143</v>
      </c>
      <c r="L55" s="23"/>
      <c r="M55" s="23"/>
      <c r="N55" s="23">
        <f t="shared" ref="N55:N60" si="11">SUM(E55:M55)</f>
        <v>3353</v>
      </c>
      <c r="O55" s="26">
        <f>N55/CALC!$A$8*CALC!$A$6</f>
        <v>122.62318504778543</v>
      </c>
      <c r="P55" s="23">
        <f t="shared" ref="P55:P60" si="12">+N55+O55</f>
        <v>3475.6231850477852</v>
      </c>
      <c r="Q55" s="34"/>
      <c r="R55" s="36"/>
    </row>
    <row r="56" spans="1:18">
      <c r="A56" s="22" t="s">
        <v>37</v>
      </c>
      <c r="B56" s="22" t="s">
        <v>41</v>
      </c>
      <c r="C56" s="33">
        <v>97</v>
      </c>
      <c r="D56" s="15"/>
      <c r="E56" s="54"/>
      <c r="F56" s="23"/>
      <c r="G56" s="23">
        <v>710</v>
      </c>
      <c r="H56" s="23">
        <v>5200</v>
      </c>
      <c r="I56" s="23"/>
      <c r="J56" s="61"/>
      <c r="K56" s="23">
        <v>143</v>
      </c>
      <c r="L56" s="23"/>
      <c r="M56" s="23"/>
      <c r="N56" s="23">
        <f t="shared" si="11"/>
        <v>6053</v>
      </c>
      <c r="O56" s="26">
        <f>N56/CALC!$A$8*CALC!$A$6</f>
        <v>221.3653859511617</v>
      </c>
      <c r="P56" s="23">
        <f t="shared" si="12"/>
        <v>6274.3653859511614</v>
      </c>
      <c r="Q56" s="34"/>
      <c r="R56" s="36"/>
    </row>
    <row r="57" spans="1:18">
      <c r="A57" s="22" t="s">
        <v>38</v>
      </c>
      <c r="B57" s="22" t="s">
        <v>42</v>
      </c>
      <c r="C57" s="33">
        <v>98</v>
      </c>
      <c r="D57" s="15"/>
      <c r="E57" s="54"/>
      <c r="F57" s="23"/>
      <c r="G57" s="23">
        <v>710</v>
      </c>
      <c r="H57" s="23">
        <v>100</v>
      </c>
      <c r="I57" s="23"/>
      <c r="J57" s="61"/>
      <c r="K57" s="23">
        <f>613+6</f>
        <v>619</v>
      </c>
      <c r="L57" s="23"/>
      <c r="M57" s="23"/>
      <c r="N57" s="23">
        <f t="shared" si="11"/>
        <v>1429</v>
      </c>
      <c r="O57" s="26">
        <f>N57/CALC!$A$8*CALC!$A$6</f>
        <v>52.260224107749892</v>
      </c>
      <c r="P57" s="23">
        <f t="shared" si="12"/>
        <v>1481.26022410775</v>
      </c>
      <c r="Q57" s="34"/>
      <c r="R57" s="36"/>
    </row>
    <row r="58" spans="1:18">
      <c r="A58" s="22" t="s">
        <v>39</v>
      </c>
      <c r="B58" s="22" t="s">
        <v>17</v>
      </c>
      <c r="C58" s="33">
        <v>405</v>
      </c>
      <c r="D58" s="15"/>
      <c r="E58" s="54"/>
      <c r="F58" s="23"/>
      <c r="G58" s="23">
        <v>1100</v>
      </c>
      <c r="H58" s="23">
        <v>0</v>
      </c>
      <c r="I58" s="23">
        <v>0</v>
      </c>
      <c r="J58" s="61"/>
      <c r="K58" s="23">
        <v>191</v>
      </c>
      <c r="L58" s="23"/>
      <c r="M58" s="23"/>
      <c r="N58" s="23">
        <f t="shared" si="11"/>
        <v>1291</v>
      </c>
      <c r="O58" s="26">
        <f>N58/CALC!$A$8*CALC!$A$6</f>
        <v>47.21340050602177</v>
      </c>
      <c r="P58" s="23">
        <f t="shared" si="12"/>
        <v>1338.2134005060218</v>
      </c>
      <c r="Q58" s="34"/>
      <c r="R58" s="36"/>
    </row>
    <row r="59" spans="1:18">
      <c r="A59" s="22"/>
      <c r="B59" s="22"/>
      <c r="C59" s="33"/>
      <c r="D59" s="15"/>
      <c r="E59" s="54"/>
      <c r="F59" s="23"/>
      <c r="G59" s="23"/>
      <c r="H59" s="23"/>
      <c r="I59" s="23"/>
      <c r="J59" s="61"/>
      <c r="K59" s="23"/>
      <c r="L59" s="23"/>
      <c r="M59" s="23"/>
      <c r="N59" s="23">
        <f t="shared" si="11"/>
        <v>0</v>
      </c>
      <c r="O59" s="23"/>
      <c r="P59" s="23">
        <f t="shared" si="12"/>
        <v>0</v>
      </c>
      <c r="Q59" s="34"/>
      <c r="R59" s="36"/>
    </row>
    <row r="60" spans="1:18">
      <c r="A60" s="71"/>
      <c r="B60" s="22"/>
      <c r="C60" s="33"/>
      <c r="D60" s="15"/>
      <c r="E60" s="23"/>
      <c r="F60" s="23"/>
      <c r="G60" s="23"/>
      <c r="H60" s="23"/>
      <c r="I60" s="23"/>
      <c r="J60" s="61"/>
      <c r="K60" s="23"/>
      <c r="L60" s="23"/>
      <c r="M60" s="23"/>
      <c r="N60" s="23">
        <f t="shared" si="11"/>
        <v>0</v>
      </c>
      <c r="O60" s="23"/>
      <c r="P60" s="23">
        <f t="shared" si="12"/>
        <v>0</v>
      </c>
      <c r="Q60" s="34"/>
      <c r="R60" s="36"/>
    </row>
    <row r="61" spans="1:18" s="30" customFormat="1">
      <c r="A61" s="59"/>
      <c r="B61" s="4" t="s">
        <v>15</v>
      </c>
      <c r="C61" s="42"/>
      <c r="D61" s="28">
        <v>0</v>
      </c>
      <c r="E61" s="26">
        <f t="shared" ref="E61:N61" si="13">SUM(E55:E60)</f>
        <v>0</v>
      </c>
      <c r="F61" s="26">
        <f t="shared" si="13"/>
        <v>0</v>
      </c>
      <c r="G61" s="26">
        <f t="shared" si="13"/>
        <v>3230</v>
      </c>
      <c r="H61" s="26">
        <f t="shared" si="13"/>
        <v>7800</v>
      </c>
      <c r="I61" s="26">
        <f t="shared" si="13"/>
        <v>0</v>
      </c>
      <c r="J61" s="56">
        <f t="shared" si="13"/>
        <v>0</v>
      </c>
      <c r="K61" s="26">
        <f t="shared" si="13"/>
        <v>1096</v>
      </c>
      <c r="L61" s="26">
        <f>SUM(L55:L60)</f>
        <v>0</v>
      </c>
      <c r="M61" s="26"/>
      <c r="N61" s="26">
        <f t="shared" si="13"/>
        <v>12126</v>
      </c>
      <c r="O61" s="26">
        <f>N61/CALC!$A$8*CALC!$A$6</f>
        <v>443.4621956127188</v>
      </c>
      <c r="P61" s="26">
        <f>+N61+O61</f>
        <v>12569.462195612719</v>
      </c>
      <c r="Q61" s="65"/>
      <c r="R61" s="60"/>
    </row>
    <row r="62" spans="1:18" s="30" customFormat="1">
      <c r="A62" s="59"/>
      <c r="B62" s="59"/>
      <c r="C62" s="63"/>
      <c r="D62" s="64"/>
      <c r="E62" s="65"/>
      <c r="F62" s="65"/>
      <c r="G62" s="65"/>
      <c r="H62" s="65"/>
      <c r="I62" s="65"/>
      <c r="J62" s="40"/>
      <c r="K62" s="65"/>
      <c r="L62" s="65"/>
      <c r="M62" s="65"/>
      <c r="N62" s="65"/>
      <c r="O62" s="65"/>
      <c r="P62" s="65"/>
      <c r="Q62" s="65"/>
      <c r="R62" s="60"/>
    </row>
    <row r="63" spans="1:18" s="30" customFormat="1">
      <c r="A63" s="76" t="s">
        <v>66</v>
      </c>
      <c r="B63" s="92" t="s">
        <v>15</v>
      </c>
      <c r="C63" s="93"/>
      <c r="D63" s="94">
        <f>+D9+D18+D27+D33+D40+D51+D61</f>
        <v>116800</v>
      </c>
      <c r="E63" s="96">
        <f>+E9+E18+E27+E33+E40+E51+E61</f>
        <v>224075.92407592409</v>
      </c>
      <c r="F63" s="96">
        <f t="shared" ref="F63:P63" si="14">+F9+F18+F27+F33+F40+F51+F61</f>
        <v>11703.865875</v>
      </c>
      <c r="G63" s="96">
        <f t="shared" si="14"/>
        <v>70525.78</v>
      </c>
      <c r="H63" s="96">
        <f t="shared" si="14"/>
        <v>50662.607400000001</v>
      </c>
      <c r="I63" s="96">
        <f t="shared" si="14"/>
        <v>480767.04</v>
      </c>
      <c r="J63" s="96">
        <f t="shared" si="14"/>
        <v>902526</v>
      </c>
      <c r="K63" s="96">
        <f>+K9+K18+K27+K33+K40+K51+K61</f>
        <v>16109</v>
      </c>
      <c r="L63" s="96">
        <f t="shared" si="14"/>
        <v>0</v>
      </c>
      <c r="M63" s="96"/>
      <c r="N63" s="96">
        <f t="shared" si="14"/>
        <v>1756370.2173509239</v>
      </c>
      <c r="O63" s="96">
        <f t="shared" si="14"/>
        <v>53866.374472739895</v>
      </c>
      <c r="P63" s="96">
        <f t="shared" si="14"/>
        <v>1810236.5918236638</v>
      </c>
      <c r="Q63" s="96">
        <f t="shared" ref="Q63" si="15">+Q9+Q18+Q40+Q51+Q61</f>
        <v>0</v>
      </c>
      <c r="R63" s="75"/>
    </row>
    <row r="64" spans="1:18" s="19" customFormat="1" ht="12" thickBot="1">
      <c r="A64" s="216"/>
      <c r="B64" s="217"/>
      <c r="C64" s="218"/>
      <c r="D64" s="219"/>
      <c r="E64" s="220"/>
      <c r="F64" s="220"/>
      <c r="G64" s="220"/>
      <c r="H64" s="220"/>
      <c r="I64" s="220"/>
      <c r="J64" s="220"/>
      <c r="K64" s="220"/>
      <c r="L64" s="220"/>
      <c r="M64" s="220"/>
      <c r="N64" s="220"/>
      <c r="O64" s="220"/>
      <c r="P64" s="220"/>
      <c r="Q64" s="220"/>
      <c r="R64" s="221"/>
    </row>
    <row r="65" spans="1:18" ht="12" thickTop="1">
      <c r="R65" s="36"/>
    </row>
    <row r="66" spans="1:18" ht="12" thickBot="1">
      <c r="R66" s="36"/>
    </row>
    <row r="67" spans="1:18" ht="12" thickBot="1">
      <c r="A67" s="97" t="s">
        <v>11</v>
      </c>
      <c r="B67" s="98" t="s">
        <v>672</v>
      </c>
      <c r="D67" s="381" t="s">
        <v>323</v>
      </c>
      <c r="E67" s="382"/>
      <c r="F67" s="383"/>
      <c r="R67" s="36"/>
    </row>
    <row r="68" spans="1:18">
      <c r="R68" s="36"/>
    </row>
    <row r="69" spans="1:18" s="18" customFormat="1">
      <c r="A69" s="87"/>
      <c r="B69" s="87" t="s">
        <v>339</v>
      </c>
      <c r="C69" s="78">
        <v>271</v>
      </c>
      <c r="D69" s="70">
        <v>30000</v>
      </c>
      <c r="E69" s="88">
        <f>+D69/Q69*(CALC!$A$4)</f>
        <v>22488.755622188906</v>
      </c>
      <c r="F69" s="61"/>
      <c r="G69" s="61">
        <v>5482</v>
      </c>
      <c r="H69" s="61"/>
      <c r="I69" s="61">
        <v>28719.54</v>
      </c>
      <c r="J69" s="61">
        <v>43159.44</v>
      </c>
      <c r="K69" s="61">
        <f>Sheet1!H27</f>
        <v>59452.680000000008</v>
      </c>
      <c r="L69" s="61"/>
      <c r="M69" s="61"/>
      <c r="N69" s="61">
        <f>SUM(E69:M69)</f>
        <v>159302.41562218891</v>
      </c>
      <c r="O69" s="61">
        <f>N69/CALC!$A$8*CALC!$A$6</f>
        <v>5825.8781954664164</v>
      </c>
      <c r="P69" s="61">
        <f>+N69+O69</f>
        <v>165128.29381765533</v>
      </c>
      <c r="Q69" s="72">
        <v>6.67</v>
      </c>
      <c r="R69" s="73"/>
    </row>
    <row r="70" spans="1:18">
      <c r="A70" s="22"/>
      <c r="B70" s="22"/>
      <c r="C70" s="33"/>
      <c r="D70" s="15"/>
      <c r="E70" s="54"/>
      <c r="F70" s="23"/>
      <c r="G70" s="23"/>
      <c r="H70" s="23"/>
      <c r="I70" s="23"/>
      <c r="J70" s="61"/>
      <c r="K70" s="23"/>
      <c r="L70" s="23"/>
      <c r="M70" s="23"/>
      <c r="N70" s="23"/>
      <c r="O70" s="23"/>
      <c r="P70" s="23"/>
      <c r="Q70" s="55"/>
      <c r="R70" s="36"/>
    </row>
    <row r="71" spans="1:18">
      <c r="A71" s="71"/>
      <c r="B71" s="22"/>
      <c r="C71" s="33"/>
      <c r="D71" s="15"/>
      <c r="E71" s="23"/>
      <c r="F71" s="23"/>
      <c r="G71" s="23"/>
      <c r="H71" s="23"/>
      <c r="I71" s="23"/>
      <c r="J71" s="61"/>
      <c r="K71" s="23"/>
      <c r="L71" s="23"/>
      <c r="M71" s="23"/>
      <c r="N71" s="23">
        <f>SUM(E71:M71)</f>
        <v>0</v>
      </c>
      <c r="O71" s="23"/>
      <c r="P71" s="23">
        <f>+N71+O71</f>
        <v>0</v>
      </c>
      <c r="Q71" s="55"/>
      <c r="R71" s="36"/>
    </row>
    <row r="72" spans="1:18" s="30" customFormat="1">
      <c r="A72" s="59"/>
      <c r="B72" s="4" t="s">
        <v>15</v>
      </c>
      <c r="C72" s="42"/>
      <c r="D72" s="28">
        <f t="shared" ref="D72:N72" si="16">SUM(D69:D71)</f>
        <v>30000</v>
      </c>
      <c r="E72" s="26">
        <f t="shared" si="16"/>
        <v>22488.755622188906</v>
      </c>
      <c r="F72" s="26">
        <f t="shared" si="16"/>
        <v>0</v>
      </c>
      <c r="G72" s="26">
        <f t="shared" si="16"/>
        <v>5482</v>
      </c>
      <c r="H72" s="26">
        <f t="shared" si="16"/>
        <v>0</v>
      </c>
      <c r="I72" s="26">
        <f t="shared" si="16"/>
        <v>28719.54</v>
      </c>
      <c r="J72" s="56">
        <f t="shared" si="16"/>
        <v>43159.44</v>
      </c>
      <c r="K72" s="26">
        <f t="shared" si="16"/>
        <v>59452.680000000008</v>
      </c>
      <c r="L72" s="26">
        <f>SUM(L69:L71)</f>
        <v>0</v>
      </c>
      <c r="M72" s="26"/>
      <c r="N72" s="26">
        <f t="shared" si="16"/>
        <v>159302.41562218891</v>
      </c>
      <c r="O72" s="26">
        <f>N72/CALC!$A$8*CALC!$A$6</f>
        <v>5825.8781954664164</v>
      </c>
      <c r="P72" s="26">
        <f>+N72+O72</f>
        <v>165128.29381765533</v>
      </c>
      <c r="Q72" s="57"/>
      <c r="R72" s="197">
        <f>(+P72/D72)*(1+CALC!$A$2)</f>
        <v>5.669404754406167</v>
      </c>
    </row>
    <row r="73" spans="1:18" ht="12" thickBot="1">
      <c r="R73" s="36"/>
    </row>
    <row r="74" spans="1:18" ht="12" thickBot="1">
      <c r="A74" s="97" t="s">
        <v>11</v>
      </c>
      <c r="B74" s="98" t="s">
        <v>156</v>
      </c>
      <c r="D74" s="381" t="s">
        <v>16</v>
      </c>
      <c r="E74" s="382"/>
      <c r="F74" s="383"/>
      <c r="R74" s="36"/>
    </row>
    <row r="75" spans="1:18">
      <c r="R75" s="36"/>
    </row>
    <row r="76" spans="1:18">
      <c r="A76" s="22" t="s">
        <v>340</v>
      </c>
      <c r="B76" s="22" t="s">
        <v>17</v>
      </c>
      <c r="C76" s="33">
        <v>16</v>
      </c>
      <c r="D76" s="15"/>
      <c r="E76" s="54"/>
      <c r="F76" s="23"/>
      <c r="G76" s="23">
        <v>710</v>
      </c>
      <c r="H76" s="23">
        <v>0</v>
      </c>
      <c r="I76" s="23"/>
      <c r="J76" s="61"/>
      <c r="K76" s="23">
        <v>214</v>
      </c>
      <c r="L76" s="23"/>
      <c r="M76" s="23"/>
      <c r="N76" s="23">
        <f>SUM(E76:M76)</f>
        <v>924</v>
      </c>
      <c r="O76" s="26">
        <f>N76/CALC!$A$8*CALC!$A$6</f>
        <v>33.791775420266553</v>
      </c>
      <c r="P76" s="23">
        <f t="shared" ref="P76:P81" si="17">+N76+O76</f>
        <v>957.7917754202665</v>
      </c>
      <c r="Q76" s="55"/>
      <c r="R76" s="36"/>
    </row>
    <row r="77" spans="1:18">
      <c r="A77" s="22" t="s">
        <v>341</v>
      </c>
      <c r="B77" s="22" t="s">
        <v>17</v>
      </c>
      <c r="C77" s="33">
        <v>17</v>
      </c>
      <c r="D77" s="15"/>
      <c r="E77" s="54"/>
      <c r="F77" s="23"/>
      <c r="G77" s="23">
        <v>710</v>
      </c>
      <c r="H77" s="23">
        <v>0</v>
      </c>
      <c r="I77" s="23"/>
      <c r="J77" s="61"/>
      <c r="K77" s="23">
        <v>214</v>
      </c>
      <c r="L77" s="23"/>
      <c r="M77" s="23"/>
      <c r="N77" s="23">
        <f>SUM(E77:M77)</f>
        <v>924</v>
      </c>
      <c r="O77" s="26">
        <f>N77/CALC!$A$8*CALC!$A$6</f>
        <v>33.791775420266553</v>
      </c>
      <c r="P77" s="23">
        <f t="shared" si="17"/>
        <v>957.7917754202665</v>
      </c>
      <c r="Q77" s="55"/>
      <c r="R77" s="36"/>
    </row>
    <row r="78" spans="1:18">
      <c r="A78" s="22" t="s">
        <v>342</v>
      </c>
      <c r="B78" s="22" t="s">
        <v>17</v>
      </c>
      <c r="C78" s="33">
        <v>18</v>
      </c>
      <c r="D78" s="15"/>
      <c r="E78" s="54"/>
      <c r="F78" s="23"/>
      <c r="G78" s="23">
        <v>710</v>
      </c>
      <c r="H78" s="23">
        <v>0</v>
      </c>
      <c r="I78" s="23"/>
      <c r="J78" s="61"/>
      <c r="K78" s="23">
        <v>214</v>
      </c>
      <c r="L78" s="23"/>
      <c r="M78" s="23"/>
      <c r="N78" s="23">
        <f>SUM(E78:M78)</f>
        <v>924</v>
      </c>
      <c r="O78" s="26">
        <f>N78/CALC!$A$8*CALC!$A$6</f>
        <v>33.791775420266553</v>
      </c>
      <c r="P78" s="23">
        <f t="shared" si="17"/>
        <v>957.7917754202665</v>
      </c>
      <c r="Q78" s="55"/>
      <c r="R78" s="36"/>
    </row>
    <row r="79" spans="1:18">
      <c r="A79" s="22" t="s">
        <v>343</v>
      </c>
      <c r="B79" s="22" t="s">
        <v>17</v>
      </c>
      <c r="C79" s="33">
        <v>19</v>
      </c>
      <c r="D79" s="15"/>
      <c r="E79" s="54"/>
      <c r="F79" s="23"/>
      <c r="G79" s="23">
        <v>710</v>
      </c>
      <c r="H79" s="23">
        <v>0</v>
      </c>
      <c r="I79" s="23"/>
      <c r="J79" s="61"/>
      <c r="K79" s="23">
        <v>214</v>
      </c>
      <c r="L79" s="23"/>
      <c r="M79" s="23"/>
      <c r="N79" s="23">
        <f>SUM(E79:M79)</f>
        <v>924</v>
      </c>
      <c r="O79" s="26">
        <f>N79/CALC!$A$8*CALC!$A$6</f>
        <v>33.791775420266553</v>
      </c>
      <c r="P79" s="23">
        <f t="shared" si="17"/>
        <v>957.7917754202665</v>
      </c>
      <c r="Q79" s="55"/>
      <c r="R79" s="36"/>
    </row>
    <row r="80" spans="1:18">
      <c r="A80" s="71"/>
      <c r="B80" s="22"/>
      <c r="C80" s="33"/>
      <c r="D80" s="15"/>
      <c r="E80" s="23"/>
      <c r="F80" s="23"/>
      <c r="G80" s="23"/>
      <c r="H80" s="23"/>
      <c r="I80" s="23"/>
      <c r="J80" s="61"/>
      <c r="K80" s="23"/>
      <c r="L80" s="23"/>
      <c r="M80" s="23"/>
      <c r="N80" s="23">
        <f>SUM(E80:M80)</f>
        <v>0</v>
      </c>
      <c r="O80" s="23"/>
      <c r="P80" s="23">
        <f t="shared" si="17"/>
        <v>0</v>
      </c>
      <c r="Q80" s="55"/>
      <c r="R80" s="36"/>
    </row>
    <row r="81" spans="1:18" s="30" customFormat="1">
      <c r="A81" s="59"/>
      <c r="B81" s="4" t="s">
        <v>15</v>
      </c>
      <c r="C81" s="42"/>
      <c r="D81" s="28">
        <f>SUM(D76:D80)</f>
        <v>0</v>
      </c>
      <c r="E81" s="26">
        <f t="shared" ref="E81:N81" si="18">SUM(E76:E80)</f>
        <v>0</v>
      </c>
      <c r="F81" s="26">
        <f t="shared" si="18"/>
        <v>0</v>
      </c>
      <c r="G81" s="26">
        <f t="shared" si="18"/>
        <v>2840</v>
      </c>
      <c r="H81" s="26">
        <f t="shared" si="18"/>
        <v>0</v>
      </c>
      <c r="I81" s="26">
        <f t="shared" si="18"/>
        <v>0</v>
      </c>
      <c r="J81" s="56">
        <f t="shared" si="18"/>
        <v>0</v>
      </c>
      <c r="K81" s="26">
        <f t="shared" si="18"/>
        <v>856</v>
      </c>
      <c r="L81" s="26"/>
      <c r="M81" s="26"/>
      <c r="N81" s="26">
        <f t="shared" si="18"/>
        <v>3696</v>
      </c>
      <c r="O81" s="26">
        <f>N81/CALC!$A$8*CALC!$A$6</f>
        <v>135.16710168106621</v>
      </c>
      <c r="P81" s="26">
        <f t="shared" si="17"/>
        <v>3831.167101681066</v>
      </c>
      <c r="Q81" s="57"/>
      <c r="R81" s="60"/>
    </row>
    <row r="82" spans="1:18">
      <c r="R82" s="36"/>
    </row>
    <row r="83" spans="1:18">
      <c r="A83" s="66" t="s">
        <v>338</v>
      </c>
      <c r="B83" s="92" t="s">
        <v>15</v>
      </c>
      <c r="C83" s="93"/>
      <c r="D83" s="94">
        <f>+D72+D81</f>
        <v>30000</v>
      </c>
      <c r="E83" s="95">
        <f>+E72+E81</f>
        <v>22488.755622188906</v>
      </c>
      <c r="F83" s="95">
        <f>+F72+F81</f>
        <v>0</v>
      </c>
      <c r="G83" s="95">
        <f>+G72+G81</f>
        <v>8322</v>
      </c>
      <c r="H83" s="95">
        <f t="shared" ref="H83:P83" si="19">+H72+H81</f>
        <v>0</v>
      </c>
      <c r="I83" s="95">
        <f t="shared" si="19"/>
        <v>28719.54</v>
      </c>
      <c r="J83" s="95">
        <f t="shared" si="19"/>
        <v>43159.44</v>
      </c>
      <c r="K83" s="95">
        <f>+K72+K81</f>
        <v>60308.680000000008</v>
      </c>
      <c r="L83" s="95">
        <f t="shared" si="19"/>
        <v>0</v>
      </c>
      <c r="M83" s="95"/>
      <c r="N83" s="95">
        <f t="shared" si="19"/>
        <v>162998.41562218891</v>
      </c>
      <c r="O83" s="95">
        <f t="shared" si="19"/>
        <v>5961.0452971474824</v>
      </c>
      <c r="P83" s="95">
        <f t="shared" si="19"/>
        <v>168959.46091933639</v>
      </c>
      <c r="Q83" s="40"/>
      <c r="R83" s="75"/>
    </row>
    <row r="84" spans="1:18" s="18" customFormat="1" ht="12" thickBot="1">
      <c r="A84" s="216"/>
      <c r="B84" s="217"/>
      <c r="C84" s="218"/>
      <c r="D84" s="219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  <c r="P84" s="222"/>
      <c r="Q84" s="222"/>
      <c r="R84" s="221"/>
    </row>
    <row r="85" spans="1:18" ht="12.75" thickTop="1" thickBot="1">
      <c r="R85" s="36"/>
    </row>
    <row r="86" spans="1:18" ht="12" thickBot="1">
      <c r="A86" s="97" t="s">
        <v>11</v>
      </c>
      <c r="B86" s="98" t="s">
        <v>157</v>
      </c>
      <c r="D86" s="381" t="s">
        <v>151</v>
      </c>
      <c r="E86" s="382"/>
      <c r="F86" s="383"/>
      <c r="R86" s="36"/>
    </row>
    <row r="87" spans="1:18">
      <c r="R87" s="36"/>
    </row>
    <row r="88" spans="1:18">
      <c r="A88" s="22" t="s">
        <v>140</v>
      </c>
      <c r="B88" s="22" t="s">
        <v>132</v>
      </c>
      <c r="C88" s="33">
        <v>411</v>
      </c>
      <c r="D88" s="15">
        <v>25000</v>
      </c>
      <c r="E88" s="54">
        <f>+D88/Q88*(CALC!$A$4)</f>
        <v>83333.333333333343</v>
      </c>
      <c r="F88" s="23"/>
      <c r="G88" s="23">
        <v>21800</v>
      </c>
      <c r="H88" s="23">
        <v>12000</v>
      </c>
      <c r="I88" s="23">
        <f t="shared" ref="I88:I93" si="20">900362.94/8</f>
        <v>112545.36749999999</v>
      </c>
      <c r="J88" s="61"/>
      <c r="K88" s="23">
        <f>9535+36</f>
        <v>9571</v>
      </c>
      <c r="L88" s="23"/>
      <c r="M88" s="23"/>
      <c r="N88" s="23">
        <f t="shared" ref="N88:N93" si="21">SUM(E88:M88)</f>
        <v>239249.70083333334</v>
      </c>
      <c r="O88" s="23">
        <f>N88/CALC!$A$8*CALC!$A$6</f>
        <v>8749.6451947250625</v>
      </c>
      <c r="P88" s="23">
        <f t="shared" ref="P88:P93" si="22">+N88+O88</f>
        <v>247999.34602805841</v>
      </c>
      <c r="Q88" s="55">
        <v>1.5</v>
      </c>
      <c r="R88" s="147"/>
    </row>
    <row r="89" spans="1:18">
      <c r="A89" s="22" t="s">
        <v>141</v>
      </c>
      <c r="B89" s="22" t="s">
        <v>132</v>
      </c>
      <c r="C89" s="33">
        <v>412</v>
      </c>
      <c r="D89" s="15">
        <v>25000</v>
      </c>
      <c r="E89" s="54">
        <f>+D89/Q89*(CALC!$A$4)</f>
        <v>83333.333333333343</v>
      </c>
      <c r="F89" s="23"/>
      <c r="G89" s="23">
        <v>21800</v>
      </c>
      <c r="H89" s="23">
        <v>12000</v>
      </c>
      <c r="I89" s="23">
        <f t="shared" si="20"/>
        <v>112545.36749999999</v>
      </c>
      <c r="J89" s="61"/>
      <c r="K89" s="23">
        <f t="shared" ref="K89:K94" si="23">9535+36</f>
        <v>9571</v>
      </c>
      <c r="L89" s="23"/>
      <c r="M89" s="23"/>
      <c r="N89" s="23">
        <f t="shared" si="21"/>
        <v>239249.70083333334</v>
      </c>
      <c r="O89" s="23">
        <f>N89/CALC!$A$8*CALC!$A$6</f>
        <v>8749.6451947250625</v>
      </c>
      <c r="P89" s="23">
        <f t="shared" si="22"/>
        <v>247999.34602805841</v>
      </c>
      <c r="Q89" s="55">
        <v>1.5</v>
      </c>
      <c r="R89" s="147"/>
    </row>
    <row r="90" spans="1:18">
      <c r="A90" s="22" t="s">
        <v>142</v>
      </c>
      <c r="B90" s="22" t="s">
        <v>132</v>
      </c>
      <c r="C90" s="33">
        <v>413</v>
      </c>
      <c r="D90" s="15">
        <v>25000</v>
      </c>
      <c r="E90" s="54">
        <f>+D90/Q90*(CALC!$A$4)</f>
        <v>83333.333333333343</v>
      </c>
      <c r="F90" s="23"/>
      <c r="G90" s="23">
        <v>21800</v>
      </c>
      <c r="H90" s="23">
        <v>12000</v>
      </c>
      <c r="I90" s="23">
        <f t="shared" si="20"/>
        <v>112545.36749999999</v>
      </c>
      <c r="J90" s="61"/>
      <c r="K90" s="23">
        <f t="shared" si="23"/>
        <v>9571</v>
      </c>
      <c r="L90" s="23"/>
      <c r="M90" s="23"/>
      <c r="N90" s="23">
        <f t="shared" si="21"/>
        <v>239249.70083333334</v>
      </c>
      <c r="O90" s="23">
        <f>N90/CALC!$A$8*CALC!$A$6</f>
        <v>8749.6451947250625</v>
      </c>
      <c r="P90" s="23">
        <f t="shared" si="22"/>
        <v>247999.34602805841</v>
      </c>
      <c r="Q90" s="55">
        <v>1.5</v>
      </c>
      <c r="R90" s="147"/>
    </row>
    <row r="91" spans="1:18">
      <c r="A91" s="22" t="s">
        <v>143</v>
      </c>
      <c r="B91" s="22" t="s">
        <v>132</v>
      </c>
      <c r="C91" s="33">
        <v>414</v>
      </c>
      <c r="D91" s="15">
        <v>25000</v>
      </c>
      <c r="E91" s="54">
        <f>+D91/Q91*(CALC!$A$4)</f>
        <v>83333.333333333343</v>
      </c>
      <c r="F91" s="23"/>
      <c r="G91" s="23">
        <v>21800</v>
      </c>
      <c r="H91" s="23">
        <v>12000</v>
      </c>
      <c r="I91" s="23">
        <f t="shared" si="20"/>
        <v>112545.36749999999</v>
      </c>
      <c r="J91" s="61"/>
      <c r="K91" s="23">
        <f t="shared" si="23"/>
        <v>9571</v>
      </c>
      <c r="L91" s="23"/>
      <c r="M91" s="23"/>
      <c r="N91" s="23">
        <f t="shared" si="21"/>
        <v>239249.70083333334</v>
      </c>
      <c r="O91" s="23">
        <f>N91/CALC!$A$8*CALC!$A$6</f>
        <v>8749.6451947250625</v>
      </c>
      <c r="P91" s="23">
        <f t="shared" si="22"/>
        <v>247999.34602805841</v>
      </c>
      <c r="Q91" s="55">
        <v>1.5</v>
      </c>
      <c r="R91" s="147"/>
    </row>
    <row r="92" spans="1:18">
      <c r="A92" s="22" t="s">
        <v>144</v>
      </c>
      <c r="B92" s="22" t="s">
        <v>132</v>
      </c>
      <c r="C92" s="33">
        <v>415</v>
      </c>
      <c r="D92" s="15">
        <v>15000</v>
      </c>
      <c r="E92" s="54">
        <f>+D92/Q92*(CALC!$A$4)</f>
        <v>50000</v>
      </c>
      <c r="F92" s="23"/>
      <c r="G92" s="23">
        <v>21800</v>
      </c>
      <c r="H92" s="23">
        <v>12000</v>
      </c>
      <c r="I92" s="23">
        <f t="shared" si="20"/>
        <v>112545.36749999999</v>
      </c>
      <c r="J92" s="61"/>
      <c r="K92" s="23">
        <f t="shared" si="23"/>
        <v>9571</v>
      </c>
      <c r="L92" s="23"/>
      <c r="M92" s="23"/>
      <c r="N92" s="23">
        <f t="shared" si="21"/>
        <v>205916.36749999999</v>
      </c>
      <c r="O92" s="23">
        <f>N92/CALC!$A$8*CALC!$A$6</f>
        <v>7530.6056773994296</v>
      </c>
      <c r="P92" s="23">
        <f t="shared" si="22"/>
        <v>213446.97317739943</v>
      </c>
      <c r="Q92" s="55">
        <v>1.5</v>
      </c>
      <c r="R92" s="147"/>
    </row>
    <row r="93" spans="1:18">
      <c r="A93" s="22" t="s">
        <v>145</v>
      </c>
      <c r="B93" s="22" t="s">
        <v>132</v>
      </c>
      <c r="C93" s="33">
        <v>416</v>
      </c>
      <c r="D93" s="15">
        <v>15000</v>
      </c>
      <c r="E93" s="54">
        <f>+D93/Q93*(CALC!$A$4)</f>
        <v>50000</v>
      </c>
      <c r="F93" s="23"/>
      <c r="G93" s="23">
        <v>21800</v>
      </c>
      <c r="H93" s="23">
        <v>12000</v>
      </c>
      <c r="I93" s="23">
        <f t="shared" si="20"/>
        <v>112545.36749999999</v>
      </c>
      <c r="J93" s="61"/>
      <c r="K93" s="23">
        <f t="shared" si="23"/>
        <v>9571</v>
      </c>
      <c r="L93" s="23"/>
      <c r="M93" s="23"/>
      <c r="N93" s="23">
        <f t="shared" si="21"/>
        <v>205916.36749999999</v>
      </c>
      <c r="O93" s="23">
        <f>N93/CALC!$A$8*CALC!$A$6</f>
        <v>7530.6056773994296</v>
      </c>
      <c r="P93" s="23">
        <f t="shared" si="22"/>
        <v>213446.97317739943</v>
      </c>
      <c r="Q93" s="55">
        <v>1.5</v>
      </c>
      <c r="R93" s="147"/>
    </row>
    <row r="94" spans="1:18">
      <c r="A94" s="22" t="s">
        <v>213</v>
      </c>
      <c r="B94" s="22" t="s">
        <v>152</v>
      </c>
      <c r="C94" s="33">
        <v>418</v>
      </c>
      <c r="D94" s="15">
        <v>60000</v>
      </c>
      <c r="E94" s="54">
        <f>+D94/Q94*(CALC!$A$4)</f>
        <v>200000</v>
      </c>
      <c r="F94" s="23">
        <v>0</v>
      </c>
      <c r="G94" s="23">
        <v>4874</v>
      </c>
      <c r="H94" s="23">
        <v>12000</v>
      </c>
      <c r="I94" s="23">
        <f>878480/8</f>
        <v>109810</v>
      </c>
      <c r="J94" s="61"/>
      <c r="K94" s="23">
        <f t="shared" si="23"/>
        <v>9571</v>
      </c>
      <c r="L94" s="23"/>
      <c r="M94" s="23"/>
      <c r="N94" s="23">
        <f>SUM(E94:M94)</f>
        <v>336255</v>
      </c>
      <c r="O94" s="23">
        <f>N94/CALC!$A$8*CALC!$A$6</f>
        <v>12297.243986949921</v>
      </c>
      <c r="P94" s="23">
        <f>+N94+O94</f>
        <v>348552.24398694991</v>
      </c>
      <c r="Q94" s="55">
        <v>1.5</v>
      </c>
      <c r="R94" s="147"/>
    </row>
    <row r="95" spans="1:18">
      <c r="A95" s="71"/>
      <c r="B95" s="22"/>
      <c r="C95" s="33"/>
      <c r="D95" s="15"/>
      <c r="E95" s="23"/>
      <c r="F95" s="23"/>
      <c r="G95" s="23"/>
      <c r="H95" s="23"/>
      <c r="I95" s="23"/>
      <c r="J95" s="61"/>
      <c r="K95" s="23"/>
      <c r="L95" s="23"/>
      <c r="M95" s="23"/>
      <c r="N95" s="23"/>
      <c r="O95" s="23"/>
      <c r="P95" s="23"/>
      <c r="Q95" s="55"/>
      <c r="R95" s="36"/>
    </row>
    <row r="96" spans="1:18" s="30" customFormat="1">
      <c r="A96" s="59"/>
      <c r="B96" s="4" t="s">
        <v>15</v>
      </c>
      <c r="C96" s="42"/>
      <c r="D96" s="28">
        <f>SUM(D88:D95)</f>
        <v>190000</v>
      </c>
      <c r="E96" s="26">
        <f t="shared" ref="E96:N96" si="24">SUM(E88:E95)</f>
        <v>633333.33333333337</v>
      </c>
      <c r="F96" s="26">
        <f t="shared" si="24"/>
        <v>0</v>
      </c>
      <c r="G96" s="26">
        <f t="shared" si="24"/>
        <v>135674</v>
      </c>
      <c r="H96" s="26">
        <f t="shared" si="24"/>
        <v>84000</v>
      </c>
      <c r="I96" s="26">
        <f t="shared" si="24"/>
        <v>785082.20499999984</v>
      </c>
      <c r="J96" s="56">
        <f t="shared" si="24"/>
        <v>0</v>
      </c>
      <c r="K96" s="26">
        <f t="shared" si="24"/>
        <v>66997</v>
      </c>
      <c r="L96" s="26">
        <f>SUM(L88:L95)</f>
        <v>0</v>
      </c>
      <c r="M96" s="26"/>
      <c r="N96" s="26">
        <f t="shared" si="24"/>
        <v>1705086.5383333333</v>
      </c>
      <c r="O96" s="26">
        <f>N96/CALC!$A$8*CALC!$A$6</f>
        <v>62357.036120649034</v>
      </c>
      <c r="P96" s="26">
        <f>+N96+O96</f>
        <v>1767443.5744539823</v>
      </c>
      <c r="Q96" s="57"/>
      <c r="R96" s="197">
        <f>(+P96/D96)*(1+CALC!$A$2)</f>
        <v>9.5814046404610629</v>
      </c>
    </row>
    <row r="97" spans="1:18" s="30" customFormat="1" ht="12" thickBot="1">
      <c r="A97" s="59"/>
      <c r="B97" s="59"/>
      <c r="C97" s="63"/>
      <c r="D97" s="64"/>
      <c r="E97" s="65"/>
      <c r="F97" s="65"/>
      <c r="G97" s="65"/>
      <c r="H97" s="65"/>
      <c r="I97" s="65"/>
      <c r="J97" s="40"/>
      <c r="K97" s="65"/>
      <c r="L97" s="65"/>
      <c r="M97" s="65"/>
      <c r="N97" s="65"/>
      <c r="O97" s="65"/>
      <c r="P97" s="65"/>
      <c r="Q97" s="65"/>
      <c r="R97" s="60"/>
    </row>
    <row r="98" spans="1:18" ht="12" thickBot="1">
      <c r="A98" s="97" t="s">
        <v>11</v>
      </c>
      <c r="B98" s="98" t="s">
        <v>673</v>
      </c>
      <c r="D98" s="381" t="s">
        <v>345</v>
      </c>
      <c r="E98" s="382"/>
      <c r="F98" s="383"/>
      <c r="R98" s="36"/>
    </row>
    <row r="99" spans="1:18">
      <c r="R99" s="36"/>
    </row>
    <row r="100" spans="1:18" s="19" customFormat="1">
      <c r="A100" s="209"/>
      <c r="B100" s="3" t="s">
        <v>344</v>
      </c>
      <c r="C100" s="206">
        <v>268</v>
      </c>
      <c r="D100" s="207">
        <v>15000</v>
      </c>
      <c r="E100" s="208">
        <f>+D100/Q100*(CALC!$A$4)</f>
        <v>11244.377811094453</v>
      </c>
      <c r="F100" s="56"/>
      <c r="G100" s="56">
        <v>5482</v>
      </c>
      <c r="H100" s="56">
        <v>0</v>
      </c>
      <c r="I100" s="56">
        <v>29508.25</v>
      </c>
      <c r="J100" s="56">
        <v>44218.44</v>
      </c>
      <c r="K100" s="56">
        <f>+'1-10'!R2</f>
        <v>329</v>
      </c>
      <c r="L100" s="56"/>
      <c r="M100" s="56"/>
      <c r="N100" s="56">
        <f>SUM(E100:M100)</f>
        <v>90782.067811094457</v>
      </c>
      <c r="O100" s="56">
        <f>N100/CALC!$A$8*CALC!$A$6</f>
        <v>3320.0078437877846</v>
      </c>
      <c r="P100" s="56">
        <f>+N100+O100</f>
        <v>94102.075654882239</v>
      </c>
      <c r="Q100" s="74">
        <v>6.67</v>
      </c>
      <c r="R100" s="75"/>
    </row>
    <row r="101" spans="1:18">
      <c r="A101" s="71"/>
      <c r="B101" s="22"/>
      <c r="C101" s="33"/>
      <c r="D101" s="15"/>
      <c r="E101" s="23"/>
      <c r="F101" s="23"/>
      <c r="G101" s="23"/>
      <c r="H101" s="23"/>
      <c r="I101" s="23"/>
      <c r="J101" s="61"/>
      <c r="K101" s="23"/>
      <c r="L101" s="23"/>
      <c r="M101" s="23"/>
      <c r="N101" s="23"/>
      <c r="O101" s="23"/>
      <c r="P101" s="23"/>
      <c r="Q101" s="55"/>
      <c r="R101" s="36"/>
    </row>
    <row r="102" spans="1:18" s="30" customFormat="1">
      <c r="A102" s="59"/>
      <c r="B102" s="4" t="s">
        <v>15</v>
      </c>
      <c r="C102" s="42"/>
      <c r="D102" s="28">
        <f t="shared" ref="D102:N102" si="25">SUM(D100:D101)</f>
        <v>15000</v>
      </c>
      <c r="E102" s="26">
        <f t="shared" si="25"/>
        <v>11244.377811094453</v>
      </c>
      <c r="F102" s="26">
        <f t="shared" si="25"/>
        <v>0</v>
      </c>
      <c r="G102" s="26">
        <f t="shared" si="25"/>
        <v>5482</v>
      </c>
      <c r="H102" s="26">
        <f t="shared" si="25"/>
        <v>0</v>
      </c>
      <c r="I102" s="26">
        <f t="shared" si="25"/>
        <v>29508.25</v>
      </c>
      <c r="J102" s="56">
        <f t="shared" si="25"/>
        <v>44218.44</v>
      </c>
      <c r="K102" s="26">
        <f t="shared" si="25"/>
        <v>329</v>
      </c>
      <c r="L102" s="26">
        <f>SUM(L100:L101)</f>
        <v>0</v>
      </c>
      <c r="M102" s="26"/>
      <c r="N102" s="26">
        <f t="shared" si="25"/>
        <v>90782.067811094457</v>
      </c>
      <c r="O102" s="26">
        <f>N102/CALC!$A$8*CALC!$A$6</f>
        <v>3320.0078437877846</v>
      </c>
      <c r="P102" s="26">
        <f>+N102+O102</f>
        <v>94102.075654882239</v>
      </c>
      <c r="Q102" s="57"/>
      <c r="R102" s="197">
        <f>(+P102/D102)*(1+CALC!$A$2)</f>
        <v>6.4616758616352472</v>
      </c>
    </row>
    <row r="103" spans="1:18" ht="12" thickBot="1">
      <c r="R103" s="36"/>
    </row>
    <row r="104" spans="1:18" ht="12" thickBot="1">
      <c r="A104" s="97" t="s">
        <v>11</v>
      </c>
      <c r="B104" s="98" t="s">
        <v>674</v>
      </c>
      <c r="D104" s="381" t="s">
        <v>323</v>
      </c>
      <c r="E104" s="382"/>
      <c r="F104" s="383"/>
      <c r="R104" s="36"/>
    </row>
    <row r="105" spans="1:18">
      <c r="R105" s="36"/>
    </row>
    <row r="106" spans="1:18" s="18" customFormat="1">
      <c r="A106" s="87"/>
      <c r="B106" s="87" t="s">
        <v>346</v>
      </c>
      <c r="C106" s="78">
        <v>269</v>
      </c>
      <c r="D106" s="70">
        <v>20000</v>
      </c>
      <c r="E106" s="88">
        <f>+D106/Q106*(CALC!$A$4)</f>
        <v>14992.503748125937</v>
      </c>
      <c r="F106" s="61"/>
      <c r="G106" s="61">
        <v>5482</v>
      </c>
      <c r="H106" s="61">
        <v>0</v>
      </c>
      <c r="I106" s="61">
        <f>28719.54*0.75</f>
        <v>21539.654999999999</v>
      </c>
      <c r="J106" s="61">
        <v>43159.44</v>
      </c>
      <c r="K106" s="61">
        <f>+'1-10'!R3</f>
        <v>329</v>
      </c>
      <c r="L106" s="61"/>
      <c r="M106" s="61"/>
      <c r="N106" s="61">
        <f>SUM(E106:M106)</f>
        <v>85502.598748125936</v>
      </c>
      <c r="O106" s="61">
        <f>N106/CALC!$A$8*CALC!$A$6</f>
        <v>3126.9314012400814</v>
      </c>
      <c r="P106" s="61">
        <f>+N106+O106</f>
        <v>88629.530149366023</v>
      </c>
      <c r="Q106" s="72">
        <v>6.67</v>
      </c>
      <c r="R106" s="73"/>
    </row>
    <row r="107" spans="1:18" s="18" customFormat="1">
      <c r="A107" s="87"/>
      <c r="B107" s="87" t="s">
        <v>347</v>
      </c>
      <c r="C107" s="78">
        <v>270</v>
      </c>
      <c r="D107" s="70">
        <v>20000</v>
      </c>
      <c r="E107" s="88">
        <f>+D107/Q107*(CALC!$A$4)</f>
        <v>14992.503748125937</v>
      </c>
      <c r="F107" s="61"/>
      <c r="G107" s="61">
        <v>5482</v>
      </c>
      <c r="H107" s="61">
        <v>0</v>
      </c>
      <c r="I107" s="61">
        <f t="shared" ref="I107:I108" si="26">28719.54*0.75</f>
        <v>21539.654999999999</v>
      </c>
      <c r="J107" s="61">
        <v>43159.44</v>
      </c>
      <c r="K107" s="61">
        <f>+'1-10'!R4</f>
        <v>329</v>
      </c>
      <c r="L107" s="61"/>
      <c r="M107" s="61"/>
      <c r="N107" s="61">
        <f>SUM(E107:M107)</f>
        <v>85502.598748125936</v>
      </c>
      <c r="O107" s="61">
        <f>N107/CALC!$A$8*CALC!$A$6</f>
        <v>3126.9314012400814</v>
      </c>
      <c r="P107" s="61">
        <f>+N107+O107</f>
        <v>88629.530149366023</v>
      </c>
      <c r="Q107" s="72">
        <v>6.67</v>
      </c>
      <c r="R107" s="73"/>
    </row>
    <row r="108" spans="1:18" s="18" customFormat="1">
      <c r="A108" s="87"/>
      <c r="B108" s="87" t="s">
        <v>348</v>
      </c>
      <c r="C108" s="78">
        <v>158</v>
      </c>
      <c r="D108" s="70">
        <v>20000</v>
      </c>
      <c r="E108" s="88">
        <f>+D108/Q108*(CALC!$A$4)</f>
        <v>14992.503748125937</v>
      </c>
      <c r="F108" s="61"/>
      <c r="G108" s="61">
        <v>5482</v>
      </c>
      <c r="H108" s="61">
        <v>0</v>
      </c>
      <c r="I108" s="61">
        <f t="shared" si="26"/>
        <v>21539.654999999999</v>
      </c>
      <c r="J108" s="61">
        <v>43159.44</v>
      </c>
      <c r="K108" s="61">
        <f>+'1-10'!R64</f>
        <v>329</v>
      </c>
      <c r="L108" s="61"/>
      <c r="M108" s="61"/>
      <c r="N108" s="61">
        <f>SUM(E108:M108)</f>
        <v>85502.598748125936</v>
      </c>
      <c r="O108" s="61">
        <f>N108/CALC!$A$8*CALC!$A$6</f>
        <v>3126.9314012400814</v>
      </c>
      <c r="P108" s="61">
        <f>+N108+O108</f>
        <v>88629.530149366023</v>
      </c>
      <c r="Q108" s="72">
        <v>6.67</v>
      </c>
      <c r="R108" s="73"/>
    </row>
    <row r="109" spans="1:18">
      <c r="A109" s="71"/>
      <c r="B109" s="22"/>
      <c r="C109" s="33"/>
      <c r="D109" s="15"/>
      <c r="E109" s="22"/>
      <c r="F109" s="23"/>
      <c r="G109" s="61"/>
      <c r="H109" s="23"/>
      <c r="I109" s="23"/>
      <c r="J109" s="61"/>
      <c r="K109" s="23"/>
      <c r="L109" s="23"/>
      <c r="M109" s="23"/>
      <c r="N109" s="23"/>
      <c r="O109" s="23"/>
      <c r="P109" s="23"/>
      <c r="Q109" s="55"/>
      <c r="R109" s="36"/>
    </row>
    <row r="110" spans="1:18" s="30" customFormat="1">
      <c r="A110" s="59"/>
      <c r="B110" s="4" t="s">
        <v>15</v>
      </c>
      <c r="C110" s="42"/>
      <c r="D110" s="28">
        <f t="shared" ref="D110:N110" si="27">SUM(D106:D109)</f>
        <v>60000</v>
      </c>
      <c r="E110" s="26">
        <f t="shared" si="27"/>
        <v>44977.511244377813</v>
      </c>
      <c r="F110" s="26">
        <f t="shared" si="27"/>
        <v>0</v>
      </c>
      <c r="G110" s="56">
        <f t="shared" si="27"/>
        <v>16446</v>
      </c>
      <c r="H110" s="26">
        <f t="shared" si="27"/>
        <v>0</v>
      </c>
      <c r="I110" s="26">
        <f t="shared" si="27"/>
        <v>64618.964999999997</v>
      </c>
      <c r="J110" s="56">
        <f t="shared" si="27"/>
        <v>129478.32</v>
      </c>
      <c r="K110" s="26">
        <f t="shared" si="27"/>
        <v>987</v>
      </c>
      <c r="L110" s="26">
        <f>SUM(L106:L109)</f>
        <v>0</v>
      </c>
      <c r="M110" s="26"/>
      <c r="N110" s="26">
        <f t="shared" si="27"/>
        <v>256507.79624437779</v>
      </c>
      <c r="O110" s="26">
        <f>N110/CALC!$A$8*CALC!$A$6</f>
        <v>9380.7942037202447</v>
      </c>
      <c r="P110" s="26">
        <f>+N110+O110</f>
        <v>265888.59044809802</v>
      </c>
      <c r="Q110" s="57"/>
      <c r="R110" s="197">
        <f>(+P110/D110)*(1+CALC!$A$2)</f>
        <v>4.5644208026923492</v>
      </c>
    </row>
    <row r="111" spans="1:18" ht="12" thickBot="1">
      <c r="R111" s="36"/>
    </row>
    <row r="112" spans="1:18" ht="12" thickBot="1">
      <c r="A112" s="97" t="s">
        <v>11</v>
      </c>
      <c r="B112" s="98" t="s">
        <v>675</v>
      </c>
      <c r="D112" s="381" t="s">
        <v>279</v>
      </c>
      <c r="E112" s="382"/>
      <c r="F112" s="383"/>
      <c r="R112" s="36"/>
    </row>
    <row r="113" spans="1:18">
      <c r="R113" s="36"/>
    </row>
    <row r="114" spans="1:18" s="18" customFormat="1">
      <c r="A114" s="87"/>
      <c r="B114" s="87" t="s">
        <v>349</v>
      </c>
      <c r="C114" s="78">
        <v>256</v>
      </c>
      <c r="D114" s="70">
        <v>30000</v>
      </c>
      <c r="E114" s="88">
        <f>+D114/Q114*(CALC!$A$4)</f>
        <v>22488.755622188906</v>
      </c>
      <c r="F114" s="61"/>
      <c r="G114" s="61">
        <v>5482</v>
      </c>
      <c r="H114" s="61">
        <v>0</v>
      </c>
      <c r="I114" s="61">
        <f>27293.89*0.75</f>
        <v>20470.4175</v>
      </c>
      <c r="J114" s="61">
        <v>41245.08</v>
      </c>
      <c r="K114" s="61">
        <f>+'1-10'!R75</f>
        <v>329</v>
      </c>
      <c r="L114" s="61"/>
      <c r="M114" s="61"/>
      <c r="N114" s="61">
        <f>SUM(E114:M114)</f>
        <v>90015.253122188908</v>
      </c>
      <c r="O114" s="56">
        <f>N114/CALC!$A$8*CALC!$A$6</f>
        <v>3291.9645215405358</v>
      </c>
      <c r="P114" s="61">
        <f>+N114+O114</f>
        <v>93307.21764372944</v>
      </c>
      <c r="Q114" s="72">
        <v>6.67</v>
      </c>
      <c r="R114" s="73"/>
    </row>
    <row r="115" spans="1:18" s="18" customFormat="1">
      <c r="A115" s="87"/>
      <c r="B115" s="87"/>
      <c r="C115" s="78"/>
      <c r="D115" s="70"/>
      <c r="E115" s="88"/>
      <c r="F115" s="61"/>
      <c r="G115" s="61"/>
      <c r="H115" s="61"/>
      <c r="I115" s="61"/>
      <c r="J115" s="61"/>
      <c r="K115" s="61"/>
      <c r="L115" s="61"/>
      <c r="M115" s="61"/>
      <c r="N115" s="61"/>
      <c r="O115" s="56"/>
      <c r="P115" s="61"/>
      <c r="Q115" s="72"/>
      <c r="R115" s="73"/>
    </row>
    <row r="116" spans="1:18">
      <c r="A116" s="71"/>
      <c r="B116" s="22"/>
      <c r="C116" s="33"/>
      <c r="D116" s="15"/>
      <c r="E116" s="22"/>
      <c r="F116" s="23"/>
      <c r="G116" s="61"/>
      <c r="H116" s="23"/>
      <c r="I116" s="23"/>
      <c r="J116" s="61"/>
      <c r="K116" s="23"/>
      <c r="L116" s="23"/>
      <c r="M116" s="23"/>
      <c r="N116" s="23"/>
      <c r="O116" s="23"/>
      <c r="P116" s="23"/>
      <c r="Q116" s="55"/>
      <c r="R116" s="36"/>
    </row>
    <row r="117" spans="1:18" s="30" customFormat="1">
      <c r="A117" s="59"/>
      <c r="B117" s="4" t="s">
        <v>15</v>
      </c>
      <c r="C117" s="42"/>
      <c r="D117" s="28">
        <f t="shared" ref="D117:N117" si="28">SUM(D114:D116)</f>
        <v>30000</v>
      </c>
      <c r="E117" s="26">
        <f t="shared" si="28"/>
        <v>22488.755622188906</v>
      </c>
      <c r="F117" s="26">
        <f t="shared" si="28"/>
        <v>0</v>
      </c>
      <c r="G117" s="56">
        <f t="shared" si="28"/>
        <v>5482</v>
      </c>
      <c r="H117" s="26">
        <f t="shared" si="28"/>
        <v>0</v>
      </c>
      <c r="I117" s="26">
        <f t="shared" si="28"/>
        <v>20470.4175</v>
      </c>
      <c r="J117" s="56">
        <f t="shared" si="28"/>
        <v>41245.08</v>
      </c>
      <c r="K117" s="26">
        <f t="shared" si="28"/>
        <v>329</v>
      </c>
      <c r="L117" s="26">
        <f>SUM(L114:L116)</f>
        <v>0</v>
      </c>
      <c r="M117" s="26"/>
      <c r="N117" s="26">
        <f t="shared" si="28"/>
        <v>90015.253122188908</v>
      </c>
      <c r="O117" s="26">
        <f>N117/CALC!$A$8*CALC!$A$6</f>
        <v>3291.9645215405358</v>
      </c>
      <c r="P117" s="26">
        <f>+N117+O117</f>
        <v>93307.21764372944</v>
      </c>
      <c r="Q117" s="57"/>
      <c r="R117" s="197">
        <f>(+P117/D117)*(1+CALC!$A$2)</f>
        <v>3.2035478057680442</v>
      </c>
    </row>
    <row r="118" spans="1:18" ht="12" thickBot="1">
      <c r="R118" s="36"/>
    </row>
    <row r="119" spans="1:18" ht="12" thickBot="1">
      <c r="A119" s="97" t="s">
        <v>11</v>
      </c>
      <c r="B119" s="98" t="s">
        <v>676</v>
      </c>
      <c r="D119" s="381" t="s">
        <v>351</v>
      </c>
      <c r="E119" s="382"/>
      <c r="F119" s="383"/>
      <c r="R119" s="36"/>
    </row>
    <row r="120" spans="1:18">
      <c r="R120" s="36"/>
    </row>
    <row r="121" spans="1:18" s="18" customFormat="1">
      <c r="A121" s="87"/>
      <c r="B121" s="87" t="s">
        <v>350</v>
      </c>
      <c r="C121" s="78">
        <v>32</v>
      </c>
      <c r="D121" s="70">
        <v>30000</v>
      </c>
      <c r="E121" s="88">
        <f>+D121/Q121*(CALC!$A$4)</f>
        <v>16501.650165016501</v>
      </c>
      <c r="F121" s="61"/>
      <c r="G121" s="61">
        <v>5482</v>
      </c>
      <c r="H121" s="61">
        <v>0</v>
      </c>
      <c r="I121" s="61">
        <f>42388.2*0.75</f>
        <v>31791.149999999998</v>
      </c>
      <c r="J121" s="61">
        <v>61960.44</v>
      </c>
      <c r="K121" s="61">
        <f>+'1-10'!R34</f>
        <v>383</v>
      </c>
      <c r="L121" s="61"/>
      <c r="M121" s="61"/>
      <c r="N121" s="61">
        <f>SUM(E121:M121)</f>
        <v>116118.2401650165</v>
      </c>
      <c r="O121" s="56">
        <f>N121/CALC!$A$8*CALC!$A$6</f>
        <v>4246.5817033039093</v>
      </c>
      <c r="P121" s="61">
        <f t="shared" ref="P121:P124" si="29">+N121+O121</f>
        <v>120364.8218683204</v>
      </c>
      <c r="Q121" s="72">
        <v>9.09</v>
      </c>
      <c r="R121" s="73"/>
    </row>
    <row r="122" spans="1:18" s="18" customFormat="1">
      <c r="A122" s="87"/>
      <c r="B122" s="87"/>
      <c r="C122" s="78"/>
      <c r="D122" s="70"/>
      <c r="E122" s="88"/>
      <c r="F122" s="61"/>
      <c r="G122" s="61"/>
      <c r="H122" s="61"/>
      <c r="I122" s="61"/>
      <c r="J122" s="61"/>
      <c r="K122" s="61"/>
      <c r="L122" s="61"/>
      <c r="M122" s="61"/>
      <c r="N122" s="61"/>
      <c r="O122" s="56"/>
      <c r="P122" s="61"/>
      <c r="Q122" s="72"/>
      <c r="R122" s="73"/>
    </row>
    <row r="123" spans="1:18">
      <c r="A123" s="71"/>
      <c r="B123" s="22"/>
      <c r="C123" s="33"/>
      <c r="D123" s="15"/>
      <c r="E123" s="23"/>
      <c r="F123" s="23"/>
      <c r="G123" s="23"/>
      <c r="H123" s="23"/>
      <c r="I123" s="23"/>
      <c r="J123" s="61"/>
      <c r="K123" s="23"/>
      <c r="L123" s="23"/>
      <c r="M123" s="23"/>
      <c r="N123" s="23">
        <f>SUM(E123:M123)</f>
        <v>0</v>
      </c>
      <c r="O123" s="23"/>
      <c r="P123" s="23">
        <f t="shared" si="29"/>
        <v>0</v>
      </c>
      <c r="Q123" s="55"/>
      <c r="R123" s="36"/>
    </row>
    <row r="124" spans="1:18" s="30" customFormat="1">
      <c r="A124" s="59"/>
      <c r="B124" s="4" t="s">
        <v>15</v>
      </c>
      <c r="C124" s="42"/>
      <c r="D124" s="28">
        <f t="shared" ref="D124:N124" si="30">SUM(D121:D123)</f>
        <v>30000</v>
      </c>
      <c r="E124" s="26">
        <f t="shared" si="30"/>
        <v>16501.650165016501</v>
      </c>
      <c r="F124" s="26">
        <f t="shared" si="30"/>
        <v>0</v>
      </c>
      <c r="G124" s="26">
        <f t="shared" si="30"/>
        <v>5482</v>
      </c>
      <c r="H124" s="26">
        <f t="shared" si="30"/>
        <v>0</v>
      </c>
      <c r="I124" s="26">
        <f t="shared" si="30"/>
        <v>31791.149999999998</v>
      </c>
      <c r="J124" s="56">
        <f t="shared" si="30"/>
        <v>61960.44</v>
      </c>
      <c r="K124" s="26">
        <f t="shared" si="30"/>
        <v>383</v>
      </c>
      <c r="L124" s="26">
        <f t="shared" si="30"/>
        <v>0</v>
      </c>
      <c r="M124" s="26"/>
      <c r="N124" s="26">
        <f t="shared" si="30"/>
        <v>116118.2401650165</v>
      </c>
      <c r="O124" s="26">
        <f>N124/CALC!$A$8*CALC!$A$6</f>
        <v>4246.5817033039093</v>
      </c>
      <c r="P124" s="26">
        <f t="shared" si="29"/>
        <v>120364.8218683204</v>
      </c>
      <c r="Q124" s="57"/>
      <c r="R124" s="197">
        <f>(+P124/D124)*(1+CALC!$A$2)</f>
        <v>4.1325255508123337</v>
      </c>
    </row>
    <row r="125" spans="1:18" ht="12" thickBot="1">
      <c r="R125" s="36"/>
    </row>
    <row r="126" spans="1:18" ht="12" thickBot="1">
      <c r="A126" s="97" t="s">
        <v>11</v>
      </c>
      <c r="B126" s="98" t="s">
        <v>677</v>
      </c>
      <c r="D126" s="381" t="s">
        <v>309</v>
      </c>
      <c r="E126" s="382"/>
      <c r="F126" s="383"/>
      <c r="R126" s="36"/>
    </row>
    <row r="127" spans="1:18">
      <c r="R127" s="36"/>
    </row>
    <row r="128" spans="1:18" s="18" customFormat="1">
      <c r="A128" s="87"/>
      <c r="B128" s="87" t="s">
        <v>352</v>
      </c>
      <c r="C128" s="78">
        <v>295</v>
      </c>
      <c r="D128" s="70">
        <v>36000</v>
      </c>
      <c r="E128" s="88">
        <f>+D128/Q128*(CALC!$A$4)</f>
        <v>90000</v>
      </c>
      <c r="F128" s="61">
        <v>0</v>
      </c>
      <c r="G128" s="61">
        <v>6057.27</v>
      </c>
      <c r="H128" s="61">
        <v>0</v>
      </c>
      <c r="I128" s="61">
        <f>53491.67*0.75</f>
        <v>40118.752500000002</v>
      </c>
      <c r="J128" s="61">
        <v>98657.04</v>
      </c>
      <c r="K128" s="61">
        <f>+'1-10'!R29</f>
        <v>1838</v>
      </c>
      <c r="L128" s="61"/>
      <c r="M128" s="61"/>
      <c r="N128" s="61">
        <f>SUM(E128:M128)</f>
        <v>236671.0625</v>
      </c>
      <c r="O128" s="61">
        <f>N128/CALC!$A$8*CALC!$A$6</f>
        <v>8655.3413338483424</v>
      </c>
      <c r="P128" s="61">
        <f>+N128+O128</f>
        <v>245326.40383384834</v>
      </c>
      <c r="Q128" s="72">
        <v>2</v>
      </c>
      <c r="R128" s="73"/>
    </row>
    <row r="129" spans="1:18" s="18" customFormat="1">
      <c r="A129" s="87"/>
      <c r="B129" s="87" t="s">
        <v>353</v>
      </c>
      <c r="C129" s="78">
        <v>296</v>
      </c>
      <c r="D129" s="70">
        <v>36000</v>
      </c>
      <c r="E129" s="88">
        <f>+D129/Q129*(CALC!$A$4)</f>
        <v>90000</v>
      </c>
      <c r="F129" s="61">
        <v>0</v>
      </c>
      <c r="G129" s="61">
        <v>6057.27</v>
      </c>
      <c r="H129" s="61">
        <v>0</v>
      </c>
      <c r="I129" s="61">
        <f>53491.67*0.75</f>
        <v>40118.752500000002</v>
      </c>
      <c r="J129" s="61">
        <v>98657.04</v>
      </c>
      <c r="K129" s="61">
        <f>+'1-10'!R30</f>
        <v>1838</v>
      </c>
      <c r="L129" s="61"/>
      <c r="M129" s="61"/>
      <c r="N129" s="61">
        <f>SUM(E129:M129)</f>
        <v>236671.0625</v>
      </c>
      <c r="O129" s="61">
        <f>N129/CALC!$A$8*CALC!$A$6</f>
        <v>8655.3413338483424</v>
      </c>
      <c r="P129" s="61">
        <f>+N129+O129</f>
        <v>245326.40383384834</v>
      </c>
      <c r="Q129" s="72">
        <v>2</v>
      </c>
      <c r="R129" s="73"/>
    </row>
    <row r="130" spans="1:18" s="18" customFormat="1">
      <c r="A130" s="87"/>
      <c r="B130" s="87"/>
      <c r="C130" s="78"/>
      <c r="D130" s="70"/>
      <c r="E130" s="88"/>
      <c r="F130" s="61"/>
      <c r="G130" s="61"/>
      <c r="H130" s="61"/>
      <c r="I130" s="61"/>
      <c r="J130" s="61"/>
      <c r="K130" s="61"/>
      <c r="L130" s="61"/>
      <c r="M130" s="61"/>
      <c r="N130" s="61"/>
      <c r="O130" s="61"/>
      <c r="P130" s="61"/>
      <c r="Q130" s="72"/>
      <c r="R130" s="73"/>
    </row>
    <row r="131" spans="1:18">
      <c r="A131" s="71"/>
      <c r="B131" s="22"/>
      <c r="C131" s="33"/>
      <c r="D131" s="15"/>
      <c r="E131" s="23"/>
      <c r="F131" s="23"/>
      <c r="G131" s="23"/>
      <c r="H131" s="23"/>
      <c r="I131" s="23"/>
      <c r="J131" s="61"/>
      <c r="K131" s="23"/>
      <c r="L131" s="23"/>
      <c r="M131" s="23"/>
      <c r="N131" s="23">
        <f>SUM(E131:M131)</f>
        <v>0</v>
      </c>
      <c r="O131" s="23"/>
      <c r="P131" s="23">
        <f>+N131+O131</f>
        <v>0</v>
      </c>
      <c r="Q131" s="55"/>
      <c r="R131" s="36"/>
    </row>
    <row r="132" spans="1:18" s="30" customFormat="1">
      <c r="A132" s="59"/>
      <c r="B132" s="4" t="s">
        <v>15</v>
      </c>
      <c r="C132" s="42"/>
      <c r="D132" s="28">
        <f t="shared" ref="D132:N132" si="31">SUM(D128:D131)</f>
        <v>72000</v>
      </c>
      <c r="E132" s="26">
        <f t="shared" si="31"/>
        <v>180000</v>
      </c>
      <c r="F132" s="26">
        <f t="shared" si="31"/>
        <v>0</v>
      </c>
      <c r="G132" s="26">
        <f t="shared" si="31"/>
        <v>12114.54</v>
      </c>
      <c r="H132" s="26">
        <f t="shared" si="31"/>
        <v>0</v>
      </c>
      <c r="I132" s="26">
        <f t="shared" si="31"/>
        <v>80237.505000000005</v>
      </c>
      <c r="J132" s="56">
        <f t="shared" si="31"/>
        <v>197314.08</v>
      </c>
      <c r="K132" s="26">
        <f t="shared" si="31"/>
        <v>3676</v>
      </c>
      <c r="L132" s="26">
        <f>SUM(L128:L131)</f>
        <v>0</v>
      </c>
      <c r="M132" s="26"/>
      <c r="N132" s="26">
        <f t="shared" si="31"/>
        <v>473342.125</v>
      </c>
      <c r="O132" s="26">
        <f>N132/CALC!$A$8*CALC!$A$6</f>
        <v>17310.682667696685</v>
      </c>
      <c r="P132" s="26">
        <f>+N132+O132</f>
        <v>490652.80766769667</v>
      </c>
      <c r="Q132" s="57"/>
      <c r="R132" s="197">
        <f>(+P132/D132)*(1+CALC!$A$2)</f>
        <v>7.0190609985795493</v>
      </c>
    </row>
    <row r="133" spans="1:18" ht="12" thickBot="1">
      <c r="R133" s="36"/>
    </row>
    <row r="134" spans="1:18" ht="12" thickBot="1">
      <c r="A134" s="97" t="s">
        <v>11</v>
      </c>
      <c r="B134" s="98" t="s">
        <v>678</v>
      </c>
      <c r="D134" s="381" t="s">
        <v>354</v>
      </c>
      <c r="E134" s="382"/>
      <c r="F134" s="383"/>
      <c r="R134" s="36"/>
    </row>
    <row r="135" spans="1:18">
      <c r="R135" s="36"/>
    </row>
    <row r="136" spans="1:18" s="18" customFormat="1">
      <c r="A136" s="87"/>
      <c r="B136" s="87" t="s">
        <v>355</v>
      </c>
      <c r="C136" s="78">
        <v>298</v>
      </c>
      <c r="D136" s="70">
        <v>20000</v>
      </c>
      <c r="E136" s="88">
        <f>+D136/Q136*(CALC!$A$4)</f>
        <v>83333.333333333343</v>
      </c>
      <c r="F136" s="61"/>
      <c r="G136" s="61">
        <v>9718</v>
      </c>
      <c r="H136" s="61">
        <v>0</v>
      </c>
      <c r="I136" s="61">
        <f>246222.25*0.75</f>
        <v>184666.6875</v>
      </c>
      <c r="J136" s="61">
        <v>480000</v>
      </c>
      <c r="K136" s="61">
        <f>9535+36</f>
        <v>9571</v>
      </c>
      <c r="L136" s="61"/>
      <c r="M136" s="61"/>
      <c r="N136" s="61">
        <f>SUM(E136:M136)</f>
        <v>767289.02083333337</v>
      </c>
      <c r="O136" s="56">
        <f>N136/CALC!$A$8*CALC!$A$6</f>
        <v>28060.669128177728</v>
      </c>
      <c r="P136" s="61">
        <f t="shared" ref="P136" si="32">+N136+O136</f>
        <v>795349.68996151106</v>
      </c>
      <c r="Q136" s="72">
        <v>1.2</v>
      </c>
      <c r="R136" s="73"/>
    </row>
    <row r="137" spans="1:18" s="18" customFormat="1">
      <c r="A137" s="87"/>
      <c r="B137" s="87"/>
      <c r="C137" s="78"/>
      <c r="D137" s="70"/>
      <c r="E137" s="88"/>
      <c r="F137" s="61"/>
      <c r="G137" s="61"/>
      <c r="H137" s="61"/>
      <c r="I137" s="61"/>
      <c r="J137" s="61"/>
      <c r="K137" s="61"/>
      <c r="L137" s="61"/>
      <c r="M137" s="61"/>
      <c r="N137" s="61"/>
      <c r="O137" s="56"/>
      <c r="P137" s="61"/>
      <c r="Q137" s="72"/>
      <c r="R137" s="73"/>
    </row>
    <row r="138" spans="1:18">
      <c r="A138" s="71"/>
      <c r="B138" s="22"/>
      <c r="C138" s="33"/>
      <c r="D138" s="15"/>
      <c r="E138" s="23"/>
      <c r="F138" s="23"/>
      <c r="G138" s="23"/>
      <c r="H138" s="23"/>
      <c r="I138" s="23"/>
      <c r="J138" s="61"/>
      <c r="K138" s="23"/>
      <c r="L138" s="23"/>
      <c r="M138" s="23"/>
      <c r="N138" s="23">
        <f>SUM(E138:M138)</f>
        <v>0</v>
      </c>
      <c r="O138" s="23"/>
      <c r="P138" s="23">
        <f t="shared" ref="P138:P139" si="33">+N138+O138</f>
        <v>0</v>
      </c>
      <c r="Q138" s="55"/>
      <c r="R138" s="36"/>
    </row>
    <row r="139" spans="1:18" s="30" customFormat="1">
      <c r="A139" s="59"/>
      <c r="B139" s="4" t="s">
        <v>15</v>
      </c>
      <c r="C139" s="42"/>
      <c r="D139" s="28">
        <f t="shared" ref="D139:N139" si="34">SUM(D136:D138)</f>
        <v>20000</v>
      </c>
      <c r="E139" s="26">
        <f t="shared" si="34"/>
        <v>83333.333333333343</v>
      </c>
      <c r="F139" s="26">
        <f t="shared" si="34"/>
        <v>0</v>
      </c>
      <c r="G139" s="26">
        <f t="shared" si="34"/>
        <v>9718</v>
      </c>
      <c r="H139" s="26">
        <f t="shared" si="34"/>
        <v>0</v>
      </c>
      <c r="I139" s="26">
        <f t="shared" si="34"/>
        <v>184666.6875</v>
      </c>
      <c r="J139" s="56">
        <f t="shared" si="34"/>
        <v>480000</v>
      </c>
      <c r="K139" s="26">
        <f t="shared" si="34"/>
        <v>9571</v>
      </c>
      <c r="L139" s="26">
        <f t="shared" si="34"/>
        <v>0</v>
      </c>
      <c r="M139" s="26"/>
      <c r="N139" s="26">
        <f t="shared" si="34"/>
        <v>767289.02083333337</v>
      </c>
      <c r="O139" s="26">
        <f>N139/CALC!$A$8*CALC!$A$6</f>
        <v>28060.669128177728</v>
      </c>
      <c r="P139" s="26">
        <f t="shared" si="33"/>
        <v>795349.68996151106</v>
      </c>
      <c r="Q139" s="57"/>
      <c r="R139" s="197">
        <f>(+P139/D139)*(1+CALC!$A$2)</f>
        <v>40.960509033017821</v>
      </c>
    </row>
    <row r="140" spans="1:18">
      <c r="F140" s="2">
        <f>SUM(F125:F133)</f>
        <v>0</v>
      </c>
      <c r="R140" s="36"/>
    </row>
    <row r="141" spans="1:18" s="30" customFormat="1">
      <c r="A141" s="66" t="s">
        <v>67</v>
      </c>
      <c r="B141" s="92" t="s">
        <v>15</v>
      </c>
      <c r="C141" s="93"/>
      <c r="D141" s="94">
        <f>+D96+D102+D110+D117+D124+D132+D139</f>
        <v>417000</v>
      </c>
      <c r="E141" s="96">
        <f t="shared" ref="E141:P141" si="35">+E96+E102+E110+E117+E124+E132+E139</f>
        <v>991878.9615093444</v>
      </c>
      <c r="F141" s="96">
        <f t="shared" si="35"/>
        <v>0</v>
      </c>
      <c r="G141" s="96">
        <f t="shared" si="35"/>
        <v>190398.54</v>
      </c>
      <c r="H141" s="96">
        <f t="shared" si="35"/>
        <v>84000</v>
      </c>
      <c r="I141" s="96">
        <f t="shared" si="35"/>
        <v>1196375.1799999997</v>
      </c>
      <c r="J141" s="96">
        <f t="shared" si="35"/>
        <v>954216.36</v>
      </c>
      <c r="K141" s="96">
        <f t="shared" si="35"/>
        <v>82272</v>
      </c>
      <c r="L141" s="96">
        <f t="shared" si="35"/>
        <v>0</v>
      </c>
      <c r="M141" s="96"/>
      <c r="N141" s="96">
        <f t="shared" si="35"/>
        <v>3499141.0415093447</v>
      </c>
      <c r="O141" s="96">
        <f t="shared" si="35"/>
        <v>127967.73618887592</v>
      </c>
      <c r="P141" s="96">
        <f t="shared" si="35"/>
        <v>3627108.7776982207</v>
      </c>
      <c r="Q141" s="95">
        <f t="shared" ref="Q141" si="36">+Q96+Q102+Q110+Q117+Q124+Q132</f>
        <v>0</v>
      </c>
      <c r="R141" s="75"/>
    </row>
    <row r="142" spans="1:18">
      <c r="Q142" s="13"/>
      <c r="R142" s="73"/>
    </row>
    <row r="143" spans="1:18" s="30" customFormat="1">
      <c r="A143" s="30" t="s">
        <v>43</v>
      </c>
      <c r="B143" s="108" t="s">
        <v>15</v>
      </c>
      <c r="C143" s="109"/>
      <c r="D143" s="110">
        <f t="shared" ref="D143:P143" si="37">+D63+D83+D141</f>
        <v>563800</v>
      </c>
      <c r="E143" s="111">
        <f t="shared" si="37"/>
        <v>1238443.6412074575</v>
      </c>
      <c r="F143" s="111">
        <f t="shared" si="37"/>
        <v>11703.865875</v>
      </c>
      <c r="G143" s="111">
        <f t="shared" si="37"/>
        <v>269246.32</v>
      </c>
      <c r="H143" s="111">
        <f t="shared" si="37"/>
        <v>134662.60740000001</v>
      </c>
      <c r="I143" s="111">
        <f t="shared" si="37"/>
        <v>1705861.7599999998</v>
      </c>
      <c r="J143" s="111">
        <f t="shared" si="37"/>
        <v>1899901.7999999998</v>
      </c>
      <c r="K143" s="111">
        <f t="shared" si="37"/>
        <v>158689.68</v>
      </c>
      <c r="L143" s="111">
        <f t="shared" si="37"/>
        <v>0</v>
      </c>
      <c r="M143" s="111"/>
      <c r="N143" s="111">
        <f t="shared" si="37"/>
        <v>5418509.6744824573</v>
      </c>
      <c r="O143" s="111">
        <f t="shared" si="37"/>
        <v>187795.15595876329</v>
      </c>
      <c r="P143" s="111">
        <f t="shared" si="37"/>
        <v>5606304.8304412207</v>
      </c>
      <c r="Q143" s="40"/>
      <c r="R143" s="75"/>
    </row>
    <row r="144" spans="1:18">
      <c r="Q144" s="13"/>
      <c r="R144" s="73"/>
    </row>
    <row r="145" spans="18:18">
      <c r="R145" s="36"/>
    </row>
    <row r="146" spans="18:18">
      <c r="R146" s="36"/>
    </row>
    <row r="147" spans="18:18">
      <c r="R147" s="36"/>
    </row>
    <row r="148" spans="18:18">
      <c r="R148" s="36"/>
    </row>
    <row r="149" spans="18:18">
      <c r="R149" s="36"/>
    </row>
    <row r="150" spans="18:18">
      <c r="R150" s="36"/>
    </row>
    <row r="151" spans="18:18">
      <c r="R151" s="36"/>
    </row>
    <row r="152" spans="18:18">
      <c r="R152" s="36"/>
    </row>
    <row r="153" spans="18:18">
      <c r="R153" s="36"/>
    </row>
    <row r="154" spans="18:18">
      <c r="R154" s="36"/>
    </row>
    <row r="155" spans="18:18">
      <c r="R155" s="36"/>
    </row>
    <row r="156" spans="18:18">
      <c r="R156" s="36"/>
    </row>
    <row r="157" spans="18:18">
      <c r="R157" s="36"/>
    </row>
    <row r="158" spans="18:18">
      <c r="R158" s="36"/>
    </row>
    <row r="159" spans="18:18">
      <c r="R159" s="36"/>
    </row>
    <row r="160" spans="18:18">
      <c r="R160" s="36"/>
    </row>
    <row r="161" spans="18:18">
      <c r="R161" s="36"/>
    </row>
    <row r="162" spans="18:18">
      <c r="R162" s="36"/>
    </row>
    <row r="163" spans="18:18">
      <c r="R163" s="36"/>
    </row>
    <row r="164" spans="18:18">
      <c r="R164" s="36"/>
    </row>
    <row r="165" spans="18:18">
      <c r="R165" s="36"/>
    </row>
    <row r="166" spans="18:18">
      <c r="R166" s="36"/>
    </row>
    <row r="167" spans="18:18">
      <c r="R167" s="36"/>
    </row>
    <row r="168" spans="18:18">
      <c r="R168" s="36"/>
    </row>
    <row r="169" spans="18:18">
      <c r="R169" s="36"/>
    </row>
    <row r="170" spans="18:18">
      <c r="R170" s="36"/>
    </row>
    <row r="171" spans="18:18">
      <c r="R171" s="36"/>
    </row>
    <row r="172" spans="18:18">
      <c r="R172" s="36"/>
    </row>
    <row r="173" spans="18:18">
      <c r="R173" s="36"/>
    </row>
    <row r="174" spans="18:18">
      <c r="R174" s="36"/>
    </row>
    <row r="175" spans="18:18">
      <c r="R175" s="36"/>
    </row>
    <row r="176" spans="18:18">
      <c r="R176" s="36"/>
    </row>
    <row r="177" spans="18:18">
      <c r="R177" s="36"/>
    </row>
    <row r="178" spans="18:18">
      <c r="R178" s="36"/>
    </row>
    <row r="179" spans="18:18">
      <c r="R179" s="36"/>
    </row>
    <row r="180" spans="18:18">
      <c r="R180" s="36"/>
    </row>
    <row r="181" spans="18:18">
      <c r="R181" s="36"/>
    </row>
    <row r="182" spans="18:18">
      <c r="R182" s="36"/>
    </row>
    <row r="183" spans="18:18">
      <c r="R183" s="36"/>
    </row>
    <row r="184" spans="18:18">
      <c r="R184" s="36"/>
    </row>
    <row r="185" spans="18:18">
      <c r="R185" s="36"/>
    </row>
    <row r="186" spans="18:18">
      <c r="R186" s="36"/>
    </row>
    <row r="187" spans="18:18">
      <c r="R187" s="36"/>
    </row>
    <row r="188" spans="18:18">
      <c r="R188" s="36"/>
    </row>
    <row r="189" spans="18:18">
      <c r="R189" s="36"/>
    </row>
    <row r="190" spans="18:18">
      <c r="R190" s="36"/>
    </row>
    <row r="191" spans="18:18">
      <c r="R191" s="36"/>
    </row>
    <row r="192" spans="18:18">
      <c r="R192" s="36"/>
    </row>
    <row r="193" spans="18:18">
      <c r="R193" s="36"/>
    </row>
    <row r="194" spans="18:18">
      <c r="R194" s="36"/>
    </row>
    <row r="195" spans="18:18">
      <c r="R195" s="36"/>
    </row>
    <row r="196" spans="18:18">
      <c r="R196" s="36"/>
    </row>
    <row r="197" spans="18:18">
      <c r="R197" s="36"/>
    </row>
    <row r="198" spans="18:18">
      <c r="R198" s="36"/>
    </row>
    <row r="199" spans="18:18">
      <c r="R199" s="36"/>
    </row>
    <row r="200" spans="18:18">
      <c r="R200" s="36"/>
    </row>
    <row r="201" spans="18:18">
      <c r="R201" s="36"/>
    </row>
    <row r="202" spans="18:18">
      <c r="R202" s="36"/>
    </row>
    <row r="203" spans="18:18">
      <c r="R203" s="36"/>
    </row>
    <row r="204" spans="18:18">
      <c r="R204" s="36"/>
    </row>
    <row r="205" spans="18:18">
      <c r="R205" s="36"/>
    </row>
    <row r="206" spans="18:18">
      <c r="R206" s="36"/>
    </row>
    <row r="207" spans="18:18">
      <c r="R207" s="36"/>
    </row>
    <row r="208" spans="18:18">
      <c r="R208" s="36"/>
    </row>
    <row r="209" spans="18:18">
      <c r="R209" s="36"/>
    </row>
    <row r="210" spans="18:18">
      <c r="R210" s="36"/>
    </row>
    <row r="211" spans="18:18">
      <c r="R211" s="36"/>
    </row>
    <row r="212" spans="18:18">
      <c r="R212" s="36"/>
    </row>
    <row r="213" spans="18:18">
      <c r="R213" s="36"/>
    </row>
    <row r="214" spans="18:18">
      <c r="R214" s="36"/>
    </row>
    <row r="215" spans="18:18">
      <c r="R215" s="36"/>
    </row>
    <row r="216" spans="18:18">
      <c r="R216" s="36"/>
    </row>
    <row r="217" spans="18:18">
      <c r="R217" s="36"/>
    </row>
    <row r="218" spans="18:18">
      <c r="R218" s="36"/>
    </row>
    <row r="219" spans="18:18">
      <c r="R219" s="36"/>
    </row>
    <row r="220" spans="18:18">
      <c r="R220" s="36"/>
    </row>
    <row r="221" spans="18:18">
      <c r="R221" s="36"/>
    </row>
    <row r="222" spans="18:18">
      <c r="R222" s="36"/>
    </row>
    <row r="223" spans="18:18">
      <c r="R223" s="36"/>
    </row>
    <row r="224" spans="18:18">
      <c r="R224" s="36"/>
    </row>
    <row r="225" spans="18:18">
      <c r="R225" s="36"/>
    </row>
    <row r="226" spans="18:18">
      <c r="R226" s="36"/>
    </row>
    <row r="227" spans="18:18">
      <c r="R227" s="36"/>
    </row>
    <row r="228" spans="18:18">
      <c r="R228" s="36"/>
    </row>
    <row r="229" spans="18:18">
      <c r="R229" s="36"/>
    </row>
    <row r="230" spans="18:18">
      <c r="R230" s="36"/>
    </row>
    <row r="231" spans="18:18">
      <c r="R231" s="36"/>
    </row>
    <row r="232" spans="18:18">
      <c r="R232" s="36"/>
    </row>
    <row r="233" spans="18:18">
      <c r="R233" s="36"/>
    </row>
    <row r="234" spans="18:18">
      <c r="R234" s="36"/>
    </row>
    <row r="235" spans="18:18">
      <c r="R235" s="36"/>
    </row>
    <row r="236" spans="18:18">
      <c r="R236" s="36"/>
    </row>
    <row r="237" spans="18:18">
      <c r="R237" s="36"/>
    </row>
    <row r="238" spans="18:18">
      <c r="R238" s="36"/>
    </row>
    <row r="239" spans="18:18">
      <c r="R239" s="36"/>
    </row>
    <row r="240" spans="18:18">
      <c r="R240" s="36"/>
    </row>
    <row r="241" spans="18:18">
      <c r="R241" s="36"/>
    </row>
    <row r="242" spans="18:18">
      <c r="R242" s="36"/>
    </row>
    <row r="243" spans="18:18">
      <c r="R243" s="36"/>
    </row>
    <row r="244" spans="18:18">
      <c r="R244" s="36"/>
    </row>
    <row r="245" spans="18:18">
      <c r="R245" s="36"/>
    </row>
    <row r="246" spans="18:18">
      <c r="R246" s="36"/>
    </row>
    <row r="247" spans="18:18">
      <c r="R247" s="36"/>
    </row>
    <row r="248" spans="18:18">
      <c r="R248" s="36"/>
    </row>
    <row r="249" spans="18:18">
      <c r="R249" s="36"/>
    </row>
    <row r="250" spans="18:18">
      <c r="R250" s="36"/>
    </row>
    <row r="251" spans="18:18">
      <c r="R251" s="36"/>
    </row>
    <row r="252" spans="18:18">
      <c r="R252" s="36"/>
    </row>
    <row r="253" spans="18:18">
      <c r="R253" s="36"/>
    </row>
    <row r="254" spans="18:18">
      <c r="R254" s="36"/>
    </row>
    <row r="255" spans="18:18">
      <c r="R255" s="36"/>
    </row>
    <row r="256" spans="18:18">
      <c r="R256" s="36"/>
    </row>
    <row r="257" spans="18:18">
      <c r="R257" s="36"/>
    </row>
    <row r="258" spans="18:18">
      <c r="R258" s="36"/>
    </row>
    <row r="259" spans="18:18">
      <c r="R259" s="36"/>
    </row>
    <row r="260" spans="18:18">
      <c r="R260" s="36"/>
    </row>
    <row r="261" spans="18:18">
      <c r="R261" s="36"/>
    </row>
    <row r="262" spans="18:18">
      <c r="R262" s="36"/>
    </row>
    <row r="263" spans="18:18">
      <c r="R263" s="36"/>
    </row>
    <row r="264" spans="18:18">
      <c r="R264" s="36"/>
    </row>
    <row r="265" spans="18:18">
      <c r="R265" s="36"/>
    </row>
    <row r="266" spans="18:18">
      <c r="R266" s="36"/>
    </row>
    <row r="267" spans="18:18">
      <c r="R267" s="36"/>
    </row>
    <row r="268" spans="18:18">
      <c r="R268" s="36"/>
    </row>
    <row r="269" spans="18:18">
      <c r="R269" s="36"/>
    </row>
    <row r="270" spans="18:18">
      <c r="R270" s="36"/>
    </row>
    <row r="271" spans="18:18">
      <c r="R271" s="36"/>
    </row>
    <row r="272" spans="18:18">
      <c r="R272" s="36"/>
    </row>
    <row r="273" spans="18:18">
      <c r="R273" s="36"/>
    </row>
    <row r="274" spans="18:18">
      <c r="R274" s="36"/>
    </row>
    <row r="275" spans="18:18">
      <c r="R275" s="36"/>
    </row>
    <row r="276" spans="18:18">
      <c r="R276" s="36"/>
    </row>
    <row r="277" spans="18:18">
      <c r="R277" s="36"/>
    </row>
    <row r="278" spans="18:18">
      <c r="R278" s="36"/>
    </row>
    <row r="279" spans="18:18">
      <c r="R279" s="36"/>
    </row>
    <row r="280" spans="18:18">
      <c r="R280" s="36"/>
    </row>
    <row r="281" spans="18:18">
      <c r="R281" s="36"/>
    </row>
    <row r="282" spans="18:18">
      <c r="R282" s="36"/>
    </row>
    <row r="283" spans="18:18">
      <c r="R283" s="36"/>
    </row>
    <row r="284" spans="18:18">
      <c r="R284" s="36"/>
    </row>
    <row r="285" spans="18:18">
      <c r="R285" s="36"/>
    </row>
    <row r="286" spans="18:18">
      <c r="R286" s="36"/>
    </row>
    <row r="287" spans="18:18">
      <c r="R287" s="36"/>
    </row>
    <row r="288" spans="18:18">
      <c r="R288" s="36"/>
    </row>
    <row r="289" spans="18:18">
      <c r="R289" s="36"/>
    </row>
    <row r="290" spans="18:18">
      <c r="R290" s="36"/>
    </row>
    <row r="291" spans="18:18">
      <c r="R291" s="36"/>
    </row>
    <row r="292" spans="18:18">
      <c r="R292" s="36"/>
    </row>
    <row r="293" spans="18:18">
      <c r="R293" s="36"/>
    </row>
    <row r="294" spans="18:18">
      <c r="R294" s="36"/>
    </row>
    <row r="295" spans="18:18">
      <c r="R295" s="36"/>
    </row>
    <row r="296" spans="18:18">
      <c r="R296" s="36"/>
    </row>
    <row r="297" spans="18:18">
      <c r="R297" s="36"/>
    </row>
    <row r="298" spans="18:18">
      <c r="R298" s="36"/>
    </row>
    <row r="299" spans="18:18">
      <c r="R299" s="36"/>
    </row>
    <row r="300" spans="18:18">
      <c r="R300" s="36"/>
    </row>
    <row r="301" spans="18:18">
      <c r="R301" s="36"/>
    </row>
    <row r="302" spans="18:18">
      <c r="R302" s="36"/>
    </row>
    <row r="303" spans="18:18">
      <c r="R303" s="36"/>
    </row>
    <row r="304" spans="18:18">
      <c r="R304" s="36"/>
    </row>
    <row r="305" spans="18:18">
      <c r="R305" s="36"/>
    </row>
    <row r="306" spans="18:18">
      <c r="R306" s="36"/>
    </row>
    <row r="307" spans="18:18">
      <c r="R307" s="36"/>
    </row>
    <row r="308" spans="18:18">
      <c r="R308" s="36"/>
    </row>
    <row r="309" spans="18:18">
      <c r="R309" s="36"/>
    </row>
    <row r="310" spans="18:18">
      <c r="R310" s="36"/>
    </row>
    <row r="311" spans="18:18">
      <c r="R311" s="36"/>
    </row>
    <row r="312" spans="18:18">
      <c r="R312" s="36"/>
    </row>
    <row r="313" spans="18:18">
      <c r="R313" s="36"/>
    </row>
    <row r="314" spans="18:18">
      <c r="R314" s="36"/>
    </row>
    <row r="315" spans="18:18">
      <c r="R315" s="36"/>
    </row>
    <row r="316" spans="18:18">
      <c r="R316" s="36"/>
    </row>
    <row r="317" spans="18:18">
      <c r="R317" s="36"/>
    </row>
    <row r="318" spans="18:18">
      <c r="R318" s="36"/>
    </row>
    <row r="319" spans="18:18">
      <c r="R319" s="36"/>
    </row>
    <row r="320" spans="18:18">
      <c r="R320" s="36"/>
    </row>
    <row r="321" spans="18:18">
      <c r="R321" s="36"/>
    </row>
    <row r="322" spans="18:18">
      <c r="R322" s="36"/>
    </row>
    <row r="323" spans="18:18">
      <c r="R323" s="36"/>
    </row>
    <row r="324" spans="18:18">
      <c r="R324" s="36"/>
    </row>
    <row r="325" spans="18:18">
      <c r="R325" s="36"/>
    </row>
    <row r="326" spans="18:18">
      <c r="R326" s="36"/>
    </row>
    <row r="327" spans="18:18">
      <c r="R327" s="36"/>
    </row>
    <row r="328" spans="18:18">
      <c r="R328" s="36"/>
    </row>
    <row r="329" spans="18:18">
      <c r="R329" s="36"/>
    </row>
    <row r="330" spans="18:18">
      <c r="R330" s="36"/>
    </row>
    <row r="331" spans="18:18">
      <c r="R331" s="36"/>
    </row>
    <row r="332" spans="18:18">
      <c r="R332" s="36"/>
    </row>
    <row r="333" spans="18:18">
      <c r="R333" s="36"/>
    </row>
    <row r="334" spans="18:18">
      <c r="R334" s="36"/>
    </row>
    <row r="335" spans="18:18">
      <c r="R335" s="36"/>
    </row>
    <row r="336" spans="18:18">
      <c r="R336" s="36"/>
    </row>
    <row r="337" spans="18:18">
      <c r="R337" s="36"/>
    </row>
    <row r="338" spans="18:18">
      <c r="R338" s="36"/>
    </row>
    <row r="339" spans="18:18">
      <c r="R339" s="36"/>
    </row>
    <row r="340" spans="18:18">
      <c r="R340" s="36"/>
    </row>
    <row r="341" spans="18:18">
      <c r="R341" s="36"/>
    </row>
    <row r="342" spans="18:18">
      <c r="R342" s="36"/>
    </row>
    <row r="343" spans="18:18">
      <c r="R343" s="36"/>
    </row>
    <row r="344" spans="18:18">
      <c r="R344" s="36"/>
    </row>
    <row r="345" spans="18:18">
      <c r="R345" s="36"/>
    </row>
    <row r="346" spans="18:18">
      <c r="R346" s="36"/>
    </row>
    <row r="347" spans="18:18">
      <c r="R347" s="36"/>
    </row>
    <row r="348" spans="18:18">
      <c r="R348" s="36"/>
    </row>
    <row r="349" spans="18:18">
      <c r="R349" s="36"/>
    </row>
    <row r="350" spans="18:18">
      <c r="R350" s="36"/>
    </row>
    <row r="351" spans="18:18">
      <c r="R351" s="36"/>
    </row>
    <row r="352" spans="18:18">
      <c r="R352" s="36"/>
    </row>
    <row r="353" spans="18:18">
      <c r="R353" s="36"/>
    </row>
    <row r="354" spans="18:18">
      <c r="R354" s="36"/>
    </row>
    <row r="355" spans="18:18">
      <c r="R355" s="36"/>
    </row>
    <row r="356" spans="18:18">
      <c r="R356" s="36"/>
    </row>
    <row r="357" spans="18:18">
      <c r="R357" s="36"/>
    </row>
    <row r="358" spans="18:18">
      <c r="R358" s="36"/>
    </row>
    <row r="359" spans="18:18">
      <c r="R359" s="36"/>
    </row>
    <row r="360" spans="18:18">
      <c r="R360" s="36"/>
    </row>
    <row r="361" spans="18:18">
      <c r="R361" s="36"/>
    </row>
    <row r="362" spans="18:18">
      <c r="R362" s="36"/>
    </row>
    <row r="363" spans="18:18">
      <c r="R363" s="36"/>
    </row>
    <row r="364" spans="18:18">
      <c r="R364" s="36"/>
    </row>
    <row r="365" spans="18:18">
      <c r="R365" s="36"/>
    </row>
    <row r="366" spans="18:18">
      <c r="R366" s="36"/>
    </row>
    <row r="367" spans="18:18">
      <c r="R367" s="36"/>
    </row>
    <row r="368" spans="18:18">
      <c r="R368" s="36"/>
    </row>
    <row r="369" spans="18:18">
      <c r="R369" s="36"/>
    </row>
    <row r="370" spans="18:18">
      <c r="R370" s="36"/>
    </row>
    <row r="371" spans="18:18">
      <c r="R371" s="36"/>
    </row>
    <row r="372" spans="18:18">
      <c r="R372" s="36"/>
    </row>
    <row r="373" spans="18:18">
      <c r="R373" s="36"/>
    </row>
    <row r="374" spans="18:18">
      <c r="R374" s="36"/>
    </row>
    <row r="375" spans="18:18">
      <c r="R375" s="36"/>
    </row>
    <row r="376" spans="18:18">
      <c r="R376" s="36"/>
    </row>
    <row r="377" spans="18:18">
      <c r="R377" s="36"/>
    </row>
    <row r="378" spans="18:18">
      <c r="R378" s="36"/>
    </row>
    <row r="379" spans="18:18">
      <c r="R379" s="36"/>
    </row>
    <row r="380" spans="18:18">
      <c r="R380" s="36"/>
    </row>
    <row r="381" spans="18:18">
      <c r="R381" s="36"/>
    </row>
    <row r="382" spans="18:18">
      <c r="R382" s="36"/>
    </row>
    <row r="383" spans="18:18">
      <c r="R383" s="36"/>
    </row>
    <row r="384" spans="18:18">
      <c r="R384" s="36"/>
    </row>
    <row r="385" spans="18:18">
      <c r="R385" s="36"/>
    </row>
    <row r="386" spans="18:18">
      <c r="R386" s="36"/>
    </row>
    <row r="387" spans="18:18">
      <c r="R387" s="36"/>
    </row>
    <row r="388" spans="18:18">
      <c r="R388" s="36"/>
    </row>
    <row r="389" spans="18:18">
      <c r="R389" s="36"/>
    </row>
    <row r="390" spans="18:18">
      <c r="R390" s="36"/>
    </row>
    <row r="391" spans="18:18">
      <c r="R391" s="36"/>
    </row>
    <row r="392" spans="18:18">
      <c r="R392" s="36"/>
    </row>
    <row r="393" spans="18:18">
      <c r="R393" s="36"/>
    </row>
    <row r="394" spans="18:18">
      <c r="R394" s="36"/>
    </row>
    <row r="395" spans="18:18">
      <c r="R395" s="36"/>
    </row>
    <row r="396" spans="18:18">
      <c r="R396" s="36"/>
    </row>
    <row r="397" spans="18:18">
      <c r="R397" s="36"/>
    </row>
    <row r="398" spans="18:18">
      <c r="R398" s="36"/>
    </row>
    <row r="399" spans="18:18">
      <c r="R399" s="36"/>
    </row>
    <row r="400" spans="18:18">
      <c r="R400" s="36"/>
    </row>
    <row r="401" spans="18:18">
      <c r="R401" s="36"/>
    </row>
    <row r="402" spans="18:18">
      <c r="R402" s="36"/>
    </row>
    <row r="403" spans="18:18">
      <c r="R403" s="36"/>
    </row>
    <row r="404" spans="18:18">
      <c r="R404" s="36"/>
    </row>
    <row r="405" spans="18:18">
      <c r="R405" s="36"/>
    </row>
    <row r="406" spans="18:18">
      <c r="R406" s="36"/>
    </row>
    <row r="407" spans="18:18">
      <c r="R407" s="36"/>
    </row>
    <row r="408" spans="18:18">
      <c r="R408" s="36"/>
    </row>
    <row r="409" spans="18:18">
      <c r="R409" s="36"/>
    </row>
    <row r="410" spans="18:18">
      <c r="R410" s="36"/>
    </row>
    <row r="411" spans="18:18">
      <c r="R411" s="36"/>
    </row>
    <row r="412" spans="18:18">
      <c r="R412" s="36"/>
    </row>
    <row r="413" spans="18:18">
      <c r="R413" s="36"/>
    </row>
    <row r="414" spans="18:18">
      <c r="R414" s="36"/>
    </row>
    <row r="415" spans="18:18">
      <c r="R415" s="36"/>
    </row>
    <row r="416" spans="18:18">
      <c r="R416" s="36"/>
    </row>
    <row r="417" spans="18:18">
      <c r="R417" s="36"/>
    </row>
    <row r="418" spans="18:18">
      <c r="R418" s="36"/>
    </row>
    <row r="419" spans="18:18">
      <c r="R419" s="36"/>
    </row>
    <row r="420" spans="18:18">
      <c r="R420" s="36"/>
    </row>
    <row r="421" spans="18:18">
      <c r="R421" s="36"/>
    </row>
    <row r="422" spans="18:18">
      <c r="R422" s="36"/>
    </row>
    <row r="423" spans="18:18">
      <c r="R423" s="36"/>
    </row>
    <row r="424" spans="18:18">
      <c r="R424" s="36"/>
    </row>
    <row r="425" spans="18:18">
      <c r="R425" s="36"/>
    </row>
    <row r="426" spans="18:18">
      <c r="R426" s="36"/>
    </row>
    <row r="427" spans="18:18">
      <c r="R427" s="36"/>
    </row>
    <row r="428" spans="18:18">
      <c r="R428" s="36"/>
    </row>
    <row r="429" spans="18:18">
      <c r="R429" s="36"/>
    </row>
    <row r="430" spans="18:18">
      <c r="R430" s="36"/>
    </row>
    <row r="431" spans="18:18">
      <c r="R431" s="36"/>
    </row>
    <row r="432" spans="18:18">
      <c r="R432" s="36"/>
    </row>
    <row r="433" spans="18:18">
      <c r="R433" s="36"/>
    </row>
    <row r="434" spans="18:18">
      <c r="R434" s="36"/>
    </row>
    <row r="435" spans="18:18">
      <c r="R435" s="36"/>
    </row>
    <row r="436" spans="18:18">
      <c r="R436" s="36"/>
    </row>
    <row r="437" spans="18:18">
      <c r="R437" s="36"/>
    </row>
    <row r="438" spans="18:18">
      <c r="R438" s="36"/>
    </row>
    <row r="439" spans="18:18">
      <c r="R439" s="36"/>
    </row>
    <row r="440" spans="18:18">
      <c r="R440" s="36"/>
    </row>
    <row r="441" spans="18:18">
      <c r="R441" s="36"/>
    </row>
    <row r="442" spans="18:18">
      <c r="R442" s="36"/>
    </row>
    <row r="443" spans="18:18">
      <c r="R443" s="36"/>
    </row>
    <row r="444" spans="18:18">
      <c r="R444" s="36"/>
    </row>
    <row r="445" spans="18:18">
      <c r="R445" s="36"/>
    </row>
    <row r="446" spans="18:18">
      <c r="R446" s="36"/>
    </row>
    <row r="447" spans="18:18">
      <c r="R447" s="36"/>
    </row>
    <row r="448" spans="18:18">
      <c r="R448" s="36"/>
    </row>
    <row r="449" spans="18:18">
      <c r="R449" s="36"/>
    </row>
    <row r="450" spans="18:18">
      <c r="R450" s="36"/>
    </row>
    <row r="451" spans="18:18">
      <c r="R451" s="36"/>
    </row>
    <row r="452" spans="18:18">
      <c r="R452" s="36"/>
    </row>
    <row r="453" spans="18:18">
      <c r="R453" s="36"/>
    </row>
    <row r="454" spans="18:18">
      <c r="R454" s="36"/>
    </row>
    <row r="455" spans="18:18">
      <c r="R455" s="36"/>
    </row>
    <row r="456" spans="18:18">
      <c r="R456" s="36"/>
    </row>
    <row r="457" spans="18:18">
      <c r="R457" s="36"/>
    </row>
    <row r="458" spans="18:18">
      <c r="R458" s="36"/>
    </row>
    <row r="459" spans="18:18">
      <c r="R459" s="36"/>
    </row>
    <row r="460" spans="18:18">
      <c r="R460" s="36"/>
    </row>
    <row r="461" spans="18:18">
      <c r="R461" s="36"/>
    </row>
    <row r="462" spans="18:18">
      <c r="R462" s="36"/>
    </row>
    <row r="463" spans="18:18">
      <c r="R463" s="36"/>
    </row>
    <row r="464" spans="18:18">
      <c r="R464" s="36"/>
    </row>
    <row r="465" spans="18:18">
      <c r="R465" s="36"/>
    </row>
    <row r="466" spans="18:18">
      <c r="R466" s="36"/>
    </row>
    <row r="467" spans="18:18">
      <c r="R467" s="36"/>
    </row>
    <row r="468" spans="18:18">
      <c r="R468" s="36"/>
    </row>
    <row r="469" spans="18:18">
      <c r="R469" s="36"/>
    </row>
    <row r="470" spans="18:18">
      <c r="R470" s="36"/>
    </row>
    <row r="471" spans="18:18">
      <c r="R471" s="36"/>
    </row>
    <row r="472" spans="18:18">
      <c r="R472" s="36"/>
    </row>
    <row r="473" spans="18:18">
      <c r="R473" s="36"/>
    </row>
    <row r="474" spans="18:18">
      <c r="R474" s="36"/>
    </row>
    <row r="475" spans="18:18">
      <c r="R475" s="36"/>
    </row>
    <row r="476" spans="18:18">
      <c r="R476" s="36"/>
    </row>
    <row r="477" spans="18:18">
      <c r="R477" s="36"/>
    </row>
    <row r="478" spans="18:18">
      <c r="R478" s="36"/>
    </row>
    <row r="479" spans="18:18">
      <c r="R479" s="36"/>
    </row>
    <row r="480" spans="18:18">
      <c r="R480" s="36"/>
    </row>
    <row r="481" spans="18:18">
      <c r="R481" s="36"/>
    </row>
    <row r="482" spans="18:18">
      <c r="R482" s="36"/>
    </row>
    <row r="483" spans="18:18">
      <c r="R483" s="36"/>
    </row>
    <row r="484" spans="18:18">
      <c r="R484" s="36"/>
    </row>
    <row r="485" spans="18:18">
      <c r="R485" s="36"/>
    </row>
    <row r="486" spans="18:18">
      <c r="R486" s="36"/>
    </row>
    <row r="487" spans="18:18">
      <c r="R487" s="36"/>
    </row>
    <row r="488" spans="18:18">
      <c r="R488" s="36"/>
    </row>
    <row r="489" spans="18:18">
      <c r="R489" s="36"/>
    </row>
    <row r="490" spans="18:18">
      <c r="R490" s="36"/>
    </row>
    <row r="491" spans="18:18">
      <c r="R491" s="36"/>
    </row>
    <row r="492" spans="18:18">
      <c r="R492" s="36"/>
    </row>
    <row r="493" spans="18:18">
      <c r="R493" s="36"/>
    </row>
  </sheetData>
  <mergeCells count="16">
    <mergeCell ref="D134:F134"/>
    <mergeCell ref="D126:F126"/>
    <mergeCell ref="D5:F5"/>
    <mergeCell ref="D35:F35"/>
    <mergeCell ref="D42:F42"/>
    <mergeCell ref="D53:F53"/>
    <mergeCell ref="D67:F67"/>
    <mergeCell ref="D12:F12"/>
    <mergeCell ref="D86:F86"/>
    <mergeCell ref="D104:F104"/>
    <mergeCell ref="D119:F119"/>
    <mergeCell ref="D74:F74"/>
    <mergeCell ref="D98:F98"/>
    <mergeCell ref="D112:F112"/>
    <mergeCell ref="D29:F29"/>
    <mergeCell ref="D21:F21"/>
  </mergeCells>
  <phoneticPr fontId="0" type="noConversion"/>
  <pageMargins left="0.39370078740157483" right="0" top="0.39370078740157483" bottom="0" header="0" footer="0"/>
  <pageSetup paperSize="9" scale="65" orientation="landscape" r:id="rId1"/>
  <headerFooter alignWithMargins="0"/>
  <rowBreaks count="1" manualBreakCount="1">
    <brk id="85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1" enableFormatConditionsCalculation="0">
    <tabColor indexed="13"/>
    <pageSetUpPr fitToPage="1"/>
  </sheetPr>
  <dimension ref="A1:S279"/>
  <sheetViews>
    <sheetView zoomScaleSheetLayoutView="100" workbookViewId="0">
      <pane xSplit="3" ySplit="3" topLeftCell="D4" activePane="bottomRight" state="frozen"/>
      <selection activeCell="J41" sqref="J41"/>
      <selection pane="topRight" activeCell="J41" sqref="J41"/>
      <selection pane="bottomLeft" activeCell="J41" sqref="J41"/>
      <selection pane="bottomRight" activeCell="I1" sqref="I1"/>
    </sheetView>
  </sheetViews>
  <sheetFormatPr defaultColWidth="10" defaultRowHeight="11.25"/>
  <cols>
    <col min="1" max="1" width="11.140625" style="2" customWidth="1"/>
    <col min="2" max="2" width="18" style="2" customWidth="1"/>
    <col min="3" max="3" width="4.42578125" style="10" bestFit="1" customWidth="1"/>
    <col min="4" max="4" width="7.85546875" style="29" bestFit="1" customWidth="1"/>
    <col min="5" max="5" width="13.140625" style="2" bestFit="1" customWidth="1"/>
    <col min="6" max="8" width="11.28515625" style="2" bestFit="1" customWidth="1"/>
    <col min="9" max="10" width="13.140625" style="2" bestFit="1" customWidth="1"/>
    <col min="11" max="11" width="11.28515625" style="2" bestFit="1" customWidth="1"/>
    <col min="12" max="12" width="13.140625" style="2" hidden="1" customWidth="1"/>
    <col min="13" max="13" width="10.85546875" style="2" hidden="1" customWidth="1"/>
    <col min="14" max="14" width="13.140625" style="2" bestFit="1" customWidth="1"/>
    <col min="15" max="15" width="11" style="2" customWidth="1"/>
    <col min="16" max="16" width="13.7109375" style="2" customWidth="1"/>
    <col min="17" max="17" width="7.28515625" style="27" hidden="1" customWidth="1"/>
    <col min="18" max="18" width="7.85546875" style="53" bestFit="1" customWidth="1"/>
    <col min="19" max="16384" width="10" style="2"/>
  </cols>
  <sheetData>
    <row r="1" spans="1:18">
      <c r="A1" s="30" t="s">
        <v>278</v>
      </c>
      <c r="D1" s="29" t="s">
        <v>21</v>
      </c>
    </row>
    <row r="3" spans="1:18" ht="33" customHeight="1">
      <c r="A3" s="128" t="s">
        <v>0</v>
      </c>
      <c r="B3" s="128" t="s">
        <v>1</v>
      </c>
      <c r="C3" s="129" t="s">
        <v>2</v>
      </c>
      <c r="D3" s="130" t="s">
        <v>3</v>
      </c>
      <c r="E3" s="131" t="s">
        <v>205</v>
      </c>
      <c r="F3" s="131" t="s">
        <v>192</v>
      </c>
      <c r="G3" s="131" t="s">
        <v>193</v>
      </c>
      <c r="H3" s="131" t="s">
        <v>194</v>
      </c>
      <c r="I3" s="131" t="s">
        <v>199</v>
      </c>
      <c r="J3" s="131" t="s">
        <v>206</v>
      </c>
      <c r="K3" s="131" t="s">
        <v>201</v>
      </c>
      <c r="L3" s="154" t="str">
        <f>+MM!L3</f>
        <v>REDEMPTION</v>
      </c>
      <c r="M3" s="154" t="str">
        <f>+MM!M3</f>
        <v>INTEREST</v>
      </c>
      <c r="N3" s="155" t="s">
        <v>13</v>
      </c>
      <c r="O3" s="131" t="s">
        <v>198</v>
      </c>
      <c r="P3" s="131" t="s">
        <v>197</v>
      </c>
      <c r="Q3" s="132" t="s">
        <v>89</v>
      </c>
      <c r="R3" s="133" t="s">
        <v>12</v>
      </c>
    </row>
    <row r="4" spans="1:18" s="18" customFormat="1" ht="14.25" customHeight="1" thickBot="1">
      <c r="A4" s="41"/>
      <c r="B4" s="41"/>
      <c r="C4" s="9"/>
      <c r="D4" s="38"/>
      <c r="E4" s="210"/>
      <c r="F4" s="210"/>
      <c r="G4" s="210"/>
      <c r="H4" s="210"/>
      <c r="I4" s="210"/>
      <c r="J4" s="210"/>
      <c r="K4" s="210"/>
      <c r="L4" s="211"/>
      <c r="M4" s="211"/>
      <c r="N4" s="212"/>
      <c r="O4" s="210"/>
      <c r="P4" s="210"/>
      <c r="Q4" s="13"/>
      <c r="R4" s="73"/>
    </row>
    <row r="5" spans="1:18" ht="12" thickBot="1">
      <c r="A5" s="97" t="s">
        <v>11</v>
      </c>
      <c r="B5" s="98" t="s">
        <v>679</v>
      </c>
      <c r="D5" s="381" t="s">
        <v>279</v>
      </c>
      <c r="E5" s="382"/>
      <c r="F5" s="383"/>
    </row>
    <row r="6" spans="1:18">
      <c r="G6" s="18"/>
      <c r="H6" s="18"/>
      <c r="I6" s="18"/>
      <c r="J6" s="18"/>
      <c r="R6" s="36"/>
    </row>
    <row r="7" spans="1:18" s="18" customFormat="1">
      <c r="A7" s="87"/>
      <c r="B7" s="87" t="s">
        <v>289</v>
      </c>
      <c r="C7" s="78">
        <v>255</v>
      </c>
      <c r="D7" s="70">
        <v>20000</v>
      </c>
      <c r="E7" s="88">
        <f>+D7/Q7*(CALC!$A$4)</f>
        <v>14992.503748125937</v>
      </c>
      <c r="F7" s="61"/>
      <c r="G7" s="61">
        <v>5500</v>
      </c>
      <c r="H7" s="61">
        <v>0</v>
      </c>
      <c r="I7" s="61">
        <f>151632.72/5*0.75</f>
        <v>22744.908000000003</v>
      </c>
      <c r="J7" s="61">
        <v>41245.08</v>
      </c>
      <c r="K7" s="61">
        <f>+'1-10'!R74</f>
        <v>329</v>
      </c>
      <c r="L7" s="61"/>
      <c r="M7" s="61"/>
      <c r="N7" s="61">
        <f>SUM(E7:M7)</f>
        <v>84811.491748125933</v>
      </c>
      <c r="O7" s="56">
        <f>N7/CALC!$A$8*CALC!$A$6</f>
        <v>3101.6567989290706</v>
      </c>
      <c r="P7" s="61">
        <f>+N7+O7</f>
        <v>87913.148547054996</v>
      </c>
      <c r="Q7" s="72">
        <v>6.67</v>
      </c>
      <c r="R7" s="73"/>
    </row>
    <row r="8" spans="1:18" s="18" customFormat="1">
      <c r="A8" s="87"/>
      <c r="B8" s="87"/>
      <c r="C8" s="78"/>
      <c r="D8" s="70"/>
      <c r="E8" s="88"/>
      <c r="F8" s="61"/>
      <c r="G8" s="61"/>
      <c r="H8" s="61"/>
      <c r="I8" s="61"/>
      <c r="J8" s="61"/>
      <c r="K8" s="61"/>
      <c r="L8" s="61"/>
      <c r="M8" s="61"/>
      <c r="N8" s="61"/>
      <c r="O8" s="56"/>
      <c r="P8" s="61"/>
      <c r="Q8" s="72"/>
      <c r="R8" s="73"/>
    </row>
    <row r="9" spans="1:18">
      <c r="A9" s="22"/>
      <c r="B9" s="22"/>
      <c r="C9" s="33"/>
      <c r="D9" s="15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55"/>
      <c r="R9" s="36"/>
    </row>
    <row r="10" spans="1:18" s="30" customFormat="1">
      <c r="A10" s="4"/>
      <c r="B10" s="4" t="s">
        <v>15</v>
      </c>
      <c r="C10" s="42"/>
      <c r="D10" s="28">
        <f t="shared" ref="D10:N10" si="0">SUM(D7:D9)</f>
        <v>20000</v>
      </c>
      <c r="E10" s="26">
        <f t="shared" si="0"/>
        <v>14992.503748125937</v>
      </c>
      <c r="F10" s="26">
        <f t="shared" si="0"/>
        <v>0</v>
      </c>
      <c r="G10" s="26">
        <f t="shared" si="0"/>
        <v>5500</v>
      </c>
      <c r="H10" s="26">
        <f t="shared" si="0"/>
        <v>0</v>
      </c>
      <c r="I10" s="26">
        <f t="shared" si="0"/>
        <v>22744.908000000003</v>
      </c>
      <c r="J10" s="26">
        <f t="shared" si="0"/>
        <v>41245.08</v>
      </c>
      <c r="K10" s="26">
        <f t="shared" si="0"/>
        <v>329</v>
      </c>
      <c r="L10" s="26">
        <f t="shared" si="0"/>
        <v>0</v>
      </c>
      <c r="M10" s="26"/>
      <c r="N10" s="26">
        <f t="shared" si="0"/>
        <v>84811.491748125933</v>
      </c>
      <c r="O10" s="26">
        <f>N10/CALC!$A$8*CALC!$A$6</f>
        <v>3101.6567989290706</v>
      </c>
      <c r="P10" s="26">
        <f>+N10+O10</f>
        <v>87913.148547054996</v>
      </c>
      <c r="Q10" s="57"/>
      <c r="R10" s="197">
        <f>(+P10/D10)*(1+CALC!$A$2)</f>
        <v>4.5275271501733325</v>
      </c>
    </row>
    <row r="11" spans="1:18" s="19" customFormat="1" ht="17.25" customHeight="1" thickBot="1">
      <c r="A11" s="89"/>
      <c r="B11" s="89"/>
      <c r="C11" s="124"/>
      <c r="D11" s="125"/>
      <c r="E11" s="126"/>
      <c r="F11" s="126"/>
      <c r="G11" s="126"/>
      <c r="H11" s="126"/>
      <c r="I11" s="126"/>
      <c r="J11" s="126"/>
      <c r="K11" s="126"/>
      <c r="L11" s="126"/>
      <c r="M11" s="126"/>
      <c r="N11" s="89"/>
      <c r="O11" s="126"/>
      <c r="P11" s="126"/>
      <c r="Q11" s="40"/>
      <c r="R11" s="68"/>
    </row>
    <row r="12" spans="1:18" ht="12" thickBot="1">
      <c r="A12" s="97" t="s">
        <v>11</v>
      </c>
      <c r="B12" s="98" t="s">
        <v>680</v>
      </c>
      <c r="D12" s="381" t="s">
        <v>290</v>
      </c>
      <c r="E12" s="382"/>
      <c r="F12" s="383"/>
    </row>
    <row r="13" spans="1:18">
      <c r="G13" s="18"/>
      <c r="H13" s="18"/>
      <c r="I13" s="18"/>
      <c r="J13" s="18"/>
      <c r="R13" s="36"/>
    </row>
    <row r="14" spans="1:18" s="18" customFormat="1">
      <c r="A14" s="87"/>
      <c r="B14" s="87" t="s">
        <v>291</v>
      </c>
      <c r="C14" s="78"/>
      <c r="D14" s="70">
        <v>25000</v>
      </c>
      <c r="E14" s="88">
        <f>+D14/Q14*(CALC!$A$4)</f>
        <v>62500</v>
      </c>
      <c r="F14" s="61"/>
      <c r="G14" s="61">
        <v>6057.27</v>
      </c>
      <c r="H14" s="61"/>
      <c r="I14" s="61">
        <f>297175.94/5*0.75</f>
        <v>44576.391000000003</v>
      </c>
      <c r="J14" s="61">
        <v>98657.04</v>
      </c>
      <c r="K14" s="61">
        <f>+'1-10'!R87</f>
        <v>1838</v>
      </c>
      <c r="L14" s="61"/>
      <c r="M14" s="61"/>
      <c r="N14" s="61">
        <f t="shared" ref="N14:N16" si="1">SUM(E14:M14)</f>
        <v>213628.701</v>
      </c>
      <c r="O14" s="56">
        <f>N14/CALC!$A$8*CALC!$A$6</f>
        <v>7812.6548566182601</v>
      </c>
      <c r="P14" s="61">
        <f t="shared" ref="P14:P16" si="2">+N14+O14</f>
        <v>221441.35585661826</v>
      </c>
      <c r="Q14" s="72">
        <v>2</v>
      </c>
      <c r="R14" s="73"/>
    </row>
    <row r="15" spans="1:18" s="18" customFormat="1">
      <c r="A15" s="87"/>
      <c r="B15" s="87" t="s">
        <v>292</v>
      </c>
      <c r="C15" s="78"/>
      <c r="D15" s="70">
        <v>25000</v>
      </c>
      <c r="E15" s="88">
        <f>+D15/Q15*(CALC!$A$4)</f>
        <v>62500</v>
      </c>
      <c r="F15" s="61"/>
      <c r="G15" s="61">
        <v>6057.27</v>
      </c>
      <c r="H15" s="61"/>
      <c r="I15" s="61">
        <f t="shared" ref="I15:I16" si="3">297175.94/5*0.75</f>
        <v>44576.391000000003</v>
      </c>
      <c r="J15" s="61">
        <v>98657.04</v>
      </c>
      <c r="K15" s="61">
        <f>+'1-10'!R88</f>
        <v>1838</v>
      </c>
      <c r="L15" s="61"/>
      <c r="M15" s="61"/>
      <c r="N15" s="61">
        <f t="shared" si="1"/>
        <v>213628.701</v>
      </c>
      <c r="O15" s="56">
        <f>N15/CALC!$A$8*CALC!$A$6</f>
        <v>7812.6548566182601</v>
      </c>
      <c r="P15" s="61">
        <f t="shared" si="2"/>
        <v>221441.35585661826</v>
      </c>
      <c r="Q15" s="72">
        <v>2</v>
      </c>
      <c r="R15" s="73"/>
    </row>
    <row r="16" spans="1:18" s="18" customFormat="1">
      <c r="A16" s="87"/>
      <c r="B16" s="87" t="s">
        <v>293</v>
      </c>
      <c r="C16" s="78"/>
      <c r="D16" s="70">
        <v>25000</v>
      </c>
      <c r="E16" s="88">
        <f>+D16/Q16*(CALC!$A$4)*1.1</f>
        <v>68750</v>
      </c>
      <c r="F16" s="61"/>
      <c r="G16" s="61">
        <v>6057.27</v>
      </c>
      <c r="H16" s="61"/>
      <c r="I16" s="61">
        <f t="shared" si="3"/>
        <v>44576.391000000003</v>
      </c>
      <c r="J16" s="61">
        <v>98657.04</v>
      </c>
      <c r="K16" s="61">
        <f>+'1-10'!R89</f>
        <v>1838</v>
      </c>
      <c r="L16" s="61"/>
      <c r="M16" s="61"/>
      <c r="N16" s="61">
        <f t="shared" si="1"/>
        <v>219878.701</v>
      </c>
      <c r="O16" s="56">
        <f>N16/CALC!$A$8*CALC!$A$6</f>
        <v>8041.2247661168158</v>
      </c>
      <c r="P16" s="61">
        <f t="shared" si="2"/>
        <v>227919.92576611682</v>
      </c>
      <c r="Q16" s="72">
        <v>2</v>
      </c>
      <c r="R16" s="73"/>
    </row>
    <row r="17" spans="1:18" s="18" customFormat="1">
      <c r="A17" s="87"/>
      <c r="B17" s="87"/>
      <c r="C17" s="78"/>
      <c r="D17" s="70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72"/>
      <c r="R17" s="73"/>
    </row>
    <row r="18" spans="1:18" s="18" customFormat="1">
      <c r="A18" s="87"/>
      <c r="B18" s="87"/>
      <c r="C18" s="78"/>
      <c r="D18" s="70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72"/>
      <c r="R18" s="73"/>
    </row>
    <row r="19" spans="1:18" s="30" customFormat="1">
      <c r="A19" s="4"/>
      <c r="B19" s="4" t="s">
        <v>15</v>
      </c>
      <c r="C19" s="42"/>
      <c r="D19" s="28">
        <f t="shared" ref="D19:N19" si="4">SUM(D14:D18)</f>
        <v>75000</v>
      </c>
      <c r="E19" s="26">
        <f t="shared" si="4"/>
        <v>193750</v>
      </c>
      <c r="F19" s="26">
        <f t="shared" si="4"/>
        <v>0</v>
      </c>
      <c r="G19" s="26">
        <f t="shared" si="4"/>
        <v>18171.810000000001</v>
      </c>
      <c r="H19" s="26">
        <f t="shared" si="4"/>
        <v>0</v>
      </c>
      <c r="I19" s="26">
        <f t="shared" si="4"/>
        <v>133729.17300000001</v>
      </c>
      <c r="J19" s="26">
        <f t="shared" si="4"/>
        <v>295971.12</v>
      </c>
      <c r="K19" s="26">
        <f t="shared" si="4"/>
        <v>5514</v>
      </c>
      <c r="L19" s="26">
        <f t="shared" si="4"/>
        <v>0</v>
      </c>
      <c r="M19" s="26"/>
      <c r="N19" s="26">
        <f t="shared" si="4"/>
        <v>647136.103</v>
      </c>
      <c r="O19" s="26">
        <f>N19/CALC!$A$8*CALC!$A$6</f>
        <v>23666.534479353333</v>
      </c>
      <c r="P19" s="26">
        <f>+N19+O19</f>
        <v>670802.63747935335</v>
      </c>
      <c r="Q19" s="57"/>
      <c r="R19" s="197">
        <f>(+P19/D19)*(1+CALC!$A$2)</f>
        <v>9.2123562213831196</v>
      </c>
    </row>
    <row r="21" spans="1:18" ht="12" thickBot="1"/>
    <row r="22" spans="1:18" ht="12" thickBot="1">
      <c r="A22" s="97" t="s">
        <v>11</v>
      </c>
      <c r="B22" s="98" t="s">
        <v>681</v>
      </c>
      <c r="D22" s="381" t="s">
        <v>294</v>
      </c>
      <c r="E22" s="382"/>
      <c r="F22" s="383"/>
    </row>
    <row r="23" spans="1:18">
      <c r="G23" s="18"/>
      <c r="H23" s="18"/>
      <c r="I23" s="18"/>
      <c r="J23" s="18"/>
      <c r="R23" s="36"/>
    </row>
    <row r="24" spans="1:18" s="19" customFormat="1">
      <c r="A24" s="3"/>
      <c r="B24" s="3" t="s">
        <v>295</v>
      </c>
      <c r="C24" s="206">
        <v>283</v>
      </c>
      <c r="D24" s="207">
        <v>40000</v>
      </c>
      <c r="E24" s="208">
        <f>+D24/Q24*(CALC!$A$4)</f>
        <v>22002.200220022001</v>
      </c>
      <c r="F24" s="56">
        <v>0</v>
      </c>
      <c r="G24" s="56">
        <v>5500</v>
      </c>
      <c r="H24" s="56"/>
      <c r="I24" s="56">
        <f>248070.79/5*0.75</f>
        <v>37210.618500000004</v>
      </c>
      <c r="J24" s="56">
        <v>65025.48</v>
      </c>
      <c r="K24" s="56">
        <f>+'1-10'!R16</f>
        <v>383</v>
      </c>
      <c r="L24" s="56"/>
      <c r="M24" s="56"/>
      <c r="N24" s="56">
        <f t="shared" ref="N24:N37" si="5">SUM(E24:M24)</f>
        <v>130121.29872002201</v>
      </c>
      <c r="O24" s="56">
        <f>N24/CALC!$A$8*CALC!$A$6</f>
        <v>4758.6901555632039</v>
      </c>
      <c r="P24" s="56">
        <f t="shared" ref="P24:P37" si="6">+N24+O24</f>
        <v>134879.9888755852</v>
      </c>
      <c r="Q24" s="74">
        <v>9.09</v>
      </c>
      <c r="R24" s="68"/>
    </row>
    <row r="25" spans="1:18" s="19" customFormat="1">
      <c r="A25" s="3"/>
      <c r="B25" s="209" t="s">
        <v>296</v>
      </c>
      <c r="C25" s="206">
        <v>284</v>
      </c>
      <c r="D25" s="207">
        <v>40000</v>
      </c>
      <c r="E25" s="208">
        <f>+D25/Q25*(CALC!$A$4)</f>
        <v>22002.200220022001</v>
      </c>
      <c r="F25" s="56">
        <v>0</v>
      </c>
      <c r="G25" s="56">
        <v>5500</v>
      </c>
      <c r="H25" s="56"/>
      <c r="I25" s="56">
        <f t="shared" ref="I25:I37" si="7">248070.79/5*0.75</f>
        <v>37210.618500000004</v>
      </c>
      <c r="J25" s="56">
        <v>65025.48</v>
      </c>
      <c r="K25" s="56">
        <v>383</v>
      </c>
      <c r="L25" s="56"/>
      <c r="M25" s="56"/>
      <c r="N25" s="56">
        <f t="shared" si="5"/>
        <v>130121.29872002201</v>
      </c>
      <c r="O25" s="56">
        <f>N25/CALC!$A$8*CALC!$A$6</f>
        <v>4758.6901555632039</v>
      </c>
      <c r="P25" s="56">
        <f t="shared" si="6"/>
        <v>134879.9888755852</v>
      </c>
      <c r="Q25" s="74">
        <v>9.09</v>
      </c>
      <c r="R25" s="68"/>
    </row>
    <row r="26" spans="1:18" s="19" customFormat="1">
      <c r="A26" s="3"/>
      <c r="B26" s="209" t="s">
        <v>297</v>
      </c>
      <c r="C26" s="206">
        <v>285</v>
      </c>
      <c r="D26" s="207">
        <v>15000</v>
      </c>
      <c r="E26" s="208">
        <f>+D26/Q26*(CALC!$A$4)</f>
        <v>8250.8250825082505</v>
      </c>
      <c r="F26" s="56">
        <v>0</v>
      </c>
      <c r="G26" s="56">
        <v>5500</v>
      </c>
      <c r="H26" s="56"/>
      <c r="I26" s="56">
        <f t="shared" si="7"/>
        <v>37210.618500000004</v>
      </c>
      <c r="J26" s="56">
        <v>65025.48</v>
      </c>
      <c r="K26" s="56">
        <v>383</v>
      </c>
      <c r="L26" s="56"/>
      <c r="M26" s="56"/>
      <c r="N26" s="56">
        <f t="shared" si="5"/>
        <v>116369.92358250826</v>
      </c>
      <c r="O26" s="56">
        <f>N26/CALC!$A$8*CALC!$A$6</f>
        <v>4255.7860642572496</v>
      </c>
      <c r="P26" s="56">
        <f t="shared" si="6"/>
        <v>120625.70964676551</v>
      </c>
      <c r="Q26" s="74">
        <v>9.09</v>
      </c>
      <c r="R26" s="68"/>
    </row>
    <row r="27" spans="1:18" s="19" customFormat="1">
      <c r="A27" s="3"/>
      <c r="B27" s="209" t="s">
        <v>298</v>
      </c>
      <c r="C27" s="206">
        <v>286</v>
      </c>
      <c r="D27" s="207">
        <v>50000</v>
      </c>
      <c r="E27" s="208">
        <f>+D27/Q27*(CALC!$A$4)</f>
        <v>27502.750275027502</v>
      </c>
      <c r="F27" s="56"/>
      <c r="G27" s="56">
        <v>5500</v>
      </c>
      <c r="H27" s="56"/>
      <c r="I27" s="56">
        <f t="shared" si="7"/>
        <v>37210.618500000004</v>
      </c>
      <c r="J27" s="56">
        <v>65025.48</v>
      </c>
      <c r="K27" s="56">
        <v>383</v>
      </c>
      <c r="L27" s="56"/>
      <c r="M27" s="56"/>
      <c r="N27" s="56">
        <f t="shared" si="5"/>
        <v>135621.84877502752</v>
      </c>
      <c r="O27" s="56">
        <f>N27/CALC!$A$8*CALC!$A$6</f>
        <v>4959.8517920855866</v>
      </c>
      <c r="P27" s="56">
        <f t="shared" si="6"/>
        <v>140581.70056711312</v>
      </c>
      <c r="Q27" s="74">
        <v>9.09</v>
      </c>
      <c r="R27" s="68"/>
    </row>
    <row r="28" spans="1:18" s="19" customFormat="1">
      <c r="A28" s="3"/>
      <c r="B28" s="209" t="s">
        <v>299</v>
      </c>
      <c r="C28" s="206">
        <v>287</v>
      </c>
      <c r="D28" s="207">
        <v>40000</v>
      </c>
      <c r="E28" s="208">
        <f>+D28/Q28*(CALC!$A$4)</f>
        <v>22002.200220022001</v>
      </c>
      <c r="F28" s="56"/>
      <c r="G28" s="56">
        <v>5500</v>
      </c>
      <c r="H28" s="56"/>
      <c r="I28" s="56">
        <f t="shared" si="7"/>
        <v>37210.618500000004</v>
      </c>
      <c r="J28" s="56">
        <v>65025.48</v>
      </c>
      <c r="K28" s="56">
        <v>383</v>
      </c>
      <c r="L28" s="56"/>
      <c r="M28" s="56"/>
      <c r="N28" s="56">
        <f t="shared" si="5"/>
        <v>130121.29872002201</v>
      </c>
      <c r="O28" s="56">
        <f>N28/CALC!$A$8*CALC!$A$6</f>
        <v>4758.6901555632039</v>
      </c>
      <c r="P28" s="56">
        <f t="shared" si="6"/>
        <v>134879.9888755852</v>
      </c>
      <c r="Q28" s="74">
        <v>9.09</v>
      </c>
      <c r="R28" s="68"/>
    </row>
    <row r="29" spans="1:18" s="19" customFormat="1">
      <c r="A29" s="3"/>
      <c r="B29" s="209" t="s">
        <v>300</v>
      </c>
      <c r="C29" s="206">
        <v>288</v>
      </c>
      <c r="D29" s="207">
        <v>60000</v>
      </c>
      <c r="E29" s="208">
        <f>+D29/Q29*(CALC!$A$4)</f>
        <v>33003.300330033002</v>
      </c>
      <c r="F29" s="56"/>
      <c r="G29" s="56">
        <v>5500</v>
      </c>
      <c r="H29" s="56"/>
      <c r="I29" s="56">
        <f t="shared" si="7"/>
        <v>37210.618500000004</v>
      </c>
      <c r="J29" s="56">
        <v>65025.48</v>
      </c>
      <c r="K29" s="56">
        <v>383</v>
      </c>
      <c r="L29" s="56"/>
      <c r="M29" s="56"/>
      <c r="N29" s="56">
        <f t="shared" si="5"/>
        <v>141122.39883003302</v>
      </c>
      <c r="O29" s="56">
        <f>N29/CALC!$A$8*CALC!$A$6</f>
        <v>5161.0134286079683</v>
      </c>
      <c r="P29" s="56">
        <f t="shared" si="6"/>
        <v>146283.41225864098</v>
      </c>
      <c r="Q29" s="74">
        <v>9.09</v>
      </c>
      <c r="R29" s="68"/>
    </row>
    <row r="30" spans="1:18" s="19" customFormat="1">
      <c r="A30" s="3"/>
      <c r="B30" s="209" t="s">
        <v>301</v>
      </c>
      <c r="C30" s="206">
        <v>289</v>
      </c>
      <c r="D30" s="207">
        <v>35000</v>
      </c>
      <c r="E30" s="208">
        <f>+D30/Q30*(CALC!$A$4)</f>
        <v>19251.925192519251</v>
      </c>
      <c r="F30" s="56"/>
      <c r="G30" s="56">
        <v>5500</v>
      </c>
      <c r="H30" s="56"/>
      <c r="I30" s="56">
        <f t="shared" si="7"/>
        <v>37210.618500000004</v>
      </c>
      <c r="J30" s="56">
        <v>65025.48</v>
      </c>
      <c r="K30" s="56">
        <v>383</v>
      </c>
      <c r="L30" s="56"/>
      <c r="M30" s="56"/>
      <c r="N30" s="56">
        <f t="shared" si="5"/>
        <v>127371.02369251926</v>
      </c>
      <c r="O30" s="56">
        <f>N30/CALC!$A$8*CALC!$A$6</f>
        <v>4658.109337302014</v>
      </c>
      <c r="P30" s="56">
        <f t="shared" si="6"/>
        <v>132029.13302982127</v>
      </c>
      <c r="Q30" s="74">
        <v>9.09</v>
      </c>
      <c r="R30" s="68"/>
    </row>
    <row r="31" spans="1:18" s="19" customFormat="1">
      <c r="A31" s="3"/>
      <c r="B31" s="209" t="s">
        <v>302</v>
      </c>
      <c r="C31" s="206">
        <v>290</v>
      </c>
      <c r="D31" s="207">
        <v>35000</v>
      </c>
      <c r="E31" s="208">
        <f>+D31/Q31*(CALC!$A$4)</f>
        <v>19251.925192519251</v>
      </c>
      <c r="F31" s="56"/>
      <c r="G31" s="56">
        <v>5500</v>
      </c>
      <c r="H31" s="56"/>
      <c r="I31" s="56">
        <f t="shared" si="7"/>
        <v>37210.618500000004</v>
      </c>
      <c r="J31" s="56">
        <v>65025.48</v>
      </c>
      <c r="K31" s="56">
        <v>383</v>
      </c>
      <c r="L31" s="56"/>
      <c r="M31" s="56"/>
      <c r="N31" s="56">
        <f t="shared" si="5"/>
        <v>127371.02369251926</v>
      </c>
      <c r="O31" s="56">
        <f>N31/CALC!$A$8*CALC!$A$6</f>
        <v>4658.109337302014</v>
      </c>
      <c r="P31" s="56">
        <f t="shared" si="6"/>
        <v>132029.13302982127</v>
      </c>
      <c r="Q31" s="74">
        <v>9.09</v>
      </c>
      <c r="R31" s="68"/>
    </row>
    <row r="32" spans="1:18" s="19" customFormat="1">
      <c r="A32" s="3"/>
      <c r="B32" s="209" t="s">
        <v>303</v>
      </c>
      <c r="C32" s="206">
        <v>291</v>
      </c>
      <c r="D32" s="207">
        <v>30000</v>
      </c>
      <c r="E32" s="208">
        <f>+D32/Q32*(CALC!$A$4)</f>
        <v>16501.650165016501</v>
      </c>
      <c r="F32" s="56">
        <v>0</v>
      </c>
      <c r="G32" s="56">
        <v>5500</v>
      </c>
      <c r="H32" s="56"/>
      <c r="I32" s="56">
        <f t="shared" si="7"/>
        <v>37210.618500000004</v>
      </c>
      <c r="J32" s="56">
        <v>65025.48</v>
      </c>
      <c r="K32" s="56">
        <v>383</v>
      </c>
      <c r="L32" s="56"/>
      <c r="M32" s="56"/>
      <c r="N32" s="56">
        <f t="shared" si="5"/>
        <v>124620.74866501651</v>
      </c>
      <c r="O32" s="56">
        <f>N32/CALC!$A$8*CALC!$A$6</f>
        <v>4557.5285190408231</v>
      </c>
      <c r="P32" s="56">
        <f t="shared" si="6"/>
        <v>129178.27718405733</v>
      </c>
      <c r="Q32" s="74">
        <v>9.09</v>
      </c>
      <c r="R32" s="68"/>
    </row>
    <row r="33" spans="1:18" s="19" customFormat="1">
      <c r="A33" s="3"/>
      <c r="B33" s="209" t="s">
        <v>304</v>
      </c>
      <c r="C33" s="206">
        <v>129</v>
      </c>
      <c r="D33" s="207">
        <v>20000</v>
      </c>
      <c r="E33" s="208">
        <f>+D33/Q33*(CALC!$A$4)</f>
        <v>11001.100110011001</v>
      </c>
      <c r="F33" s="56">
        <v>0</v>
      </c>
      <c r="G33" s="56">
        <v>5500</v>
      </c>
      <c r="H33" s="56"/>
      <c r="I33" s="56">
        <f t="shared" si="7"/>
        <v>37210.618500000004</v>
      </c>
      <c r="J33" s="56">
        <v>65025.48</v>
      </c>
      <c r="K33" s="56">
        <v>383</v>
      </c>
      <c r="L33" s="56"/>
      <c r="M33" s="56"/>
      <c r="N33" s="56">
        <f t="shared" si="5"/>
        <v>119120.19861001101</v>
      </c>
      <c r="O33" s="56">
        <f>N33/CALC!$A$8*CALC!$A$6</f>
        <v>4356.3668825184413</v>
      </c>
      <c r="P33" s="56">
        <f t="shared" si="6"/>
        <v>123476.56549252945</v>
      </c>
      <c r="Q33" s="74">
        <v>9.09</v>
      </c>
      <c r="R33" s="68"/>
    </row>
    <row r="34" spans="1:18" s="19" customFormat="1">
      <c r="A34" s="3"/>
      <c r="B34" s="209" t="s">
        <v>305</v>
      </c>
      <c r="C34" s="206">
        <v>260</v>
      </c>
      <c r="D34" s="207">
        <v>20000</v>
      </c>
      <c r="E34" s="208">
        <f>+D34/Q34*(CALC!$A$4)</f>
        <v>11001.100110011001</v>
      </c>
      <c r="F34" s="56">
        <v>0</v>
      </c>
      <c r="G34" s="56">
        <v>5500</v>
      </c>
      <c r="H34" s="56"/>
      <c r="I34" s="56">
        <f t="shared" si="7"/>
        <v>37210.618500000004</v>
      </c>
      <c r="J34" s="56">
        <v>65025.48</v>
      </c>
      <c r="K34" s="56">
        <v>383</v>
      </c>
      <c r="L34" s="56"/>
      <c r="M34" s="56"/>
      <c r="N34" s="56">
        <f t="shared" si="5"/>
        <v>119120.19861001101</v>
      </c>
      <c r="O34" s="56">
        <f>N34/CALC!$A$8*CALC!$A$6</f>
        <v>4356.3668825184413</v>
      </c>
      <c r="P34" s="56">
        <f t="shared" si="6"/>
        <v>123476.56549252945</v>
      </c>
      <c r="Q34" s="74">
        <v>9.09</v>
      </c>
      <c r="R34" s="68"/>
    </row>
    <row r="35" spans="1:18" s="19" customFormat="1">
      <c r="A35" s="3"/>
      <c r="B35" s="209" t="s">
        <v>306</v>
      </c>
      <c r="C35" s="206">
        <v>261</v>
      </c>
      <c r="D35" s="207">
        <v>15000</v>
      </c>
      <c r="E35" s="208">
        <f>+D35/Q35*(CALC!$A$4)</f>
        <v>8250.8250825082505</v>
      </c>
      <c r="F35" s="56">
        <v>0</v>
      </c>
      <c r="G35" s="56">
        <v>5500</v>
      </c>
      <c r="H35" s="56"/>
      <c r="I35" s="56">
        <f t="shared" si="7"/>
        <v>37210.618500000004</v>
      </c>
      <c r="J35" s="56">
        <v>65025.48</v>
      </c>
      <c r="K35" s="56">
        <v>383</v>
      </c>
      <c r="L35" s="56"/>
      <c r="M35" s="56"/>
      <c r="N35" s="56">
        <f t="shared" si="5"/>
        <v>116369.92358250826</v>
      </c>
      <c r="O35" s="56">
        <f>N35/CALC!$A$8*CALC!$A$6</f>
        <v>4255.7860642572496</v>
      </c>
      <c r="P35" s="56">
        <f t="shared" si="6"/>
        <v>120625.70964676551</v>
      </c>
      <c r="Q35" s="74">
        <v>9.09</v>
      </c>
      <c r="R35" s="68"/>
    </row>
    <row r="36" spans="1:18" s="19" customFormat="1">
      <c r="A36" s="3"/>
      <c r="B36" s="209" t="s">
        <v>307</v>
      </c>
      <c r="C36" s="206">
        <v>262</v>
      </c>
      <c r="D36" s="207">
        <v>10000</v>
      </c>
      <c r="E36" s="208">
        <f>+D36/Q36*(CALC!$A$4)</f>
        <v>5500.5500550055003</v>
      </c>
      <c r="F36" s="56">
        <v>0</v>
      </c>
      <c r="G36" s="56">
        <v>5500</v>
      </c>
      <c r="H36" s="56"/>
      <c r="I36" s="56">
        <f t="shared" si="7"/>
        <v>37210.618500000004</v>
      </c>
      <c r="J36" s="56">
        <v>65025.48</v>
      </c>
      <c r="K36" s="56">
        <v>383</v>
      </c>
      <c r="L36" s="56"/>
      <c r="M36" s="56"/>
      <c r="N36" s="56">
        <f t="shared" si="5"/>
        <v>113619.64855500551</v>
      </c>
      <c r="O36" s="56">
        <f>N36/CALC!$A$8*CALC!$A$6</f>
        <v>4155.2052459960596</v>
      </c>
      <c r="P36" s="56">
        <f t="shared" si="6"/>
        <v>117774.85380100156</v>
      </c>
      <c r="Q36" s="74">
        <v>9.09</v>
      </c>
      <c r="R36" s="68"/>
    </row>
    <row r="37" spans="1:18" s="19" customFormat="1">
      <c r="A37" s="3"/>
      <c r="B37" s="209" t="s">
        <v>308</v>
      </c>
      <c r="C37" s="206">
        <v>263</v>
      </c>
      <c r="D37" s="207">
        <v>15000</v>
      </c>
      <c r="E37" s="208">
        <f>+D37/Q37*(CALC!$A$4)</f>
        <v>8250.8250825082505</v>
      </c>
      <c r="F37" s="56">
        <v>0</v>
      </c>
      <c r="G37" s="56">
        <v>5500</v>
      </c>
      <c r="H37" s="56"/>
      <c r="I37" s="56">
        <f t="shared" si="7"/>
        <v>37210.618500000004</v>
      </c>
      <c r="J37" s="56">
        <v>65025.48</v>
      </c>
      <c r="K37" s="56">
        <v>383</v>
      </c>
      <c r="L37" s="56"/>
      <c r="M37" s="56"/>
      <c r="N37" s="56">
        <f t="shared" si="5"/>
        <v>116369.92358250826</v>
      </c>
      <c r="O37" s="56">
        <f>N37/CALC!$A$8*CALC!$A$6</f>
        <v>4255.7860642572496</v>
      </c>
      <c r="P37" s="56">
        <f t="shared" si="6"/>
        <v>120625.70964676551</v>
      </c>
      <c r="Q37" s="74">
        <v>9.09</v>
      </c>
      <c r="R37" s="68"/>
    </row>
    <row r="38" spans="1:18" s="18" customFormat="1">
      <c r="A38" s="87"/>
      <c r="B38" s="87"/>
      <c r="C38" s="78"/>
      <c r="D38" s="70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72"/>
      <c r="R38" s="73"/>
    </row>
    <row r="39" spans="1:18">
      <c r="A39" s="22"/>
      <c r="B39" s="22"/>
      <c r="C39" s="33"/>
      <c r="D39" s="15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55"/>
      <c r="R39" s="36"/>
    </row>
    <row r="40" spans="1:18" s="30" customFormat="1">
      <c r="A40" s="4"/>
      <c r="B40" s="4" t="s">
        <v>15</v>
      </c>
      <c r="C40" s="42"/>
      <c r="D40" s="28">
        <f>SUM(D24:D39)</f>
        <v>425000</v>
      </c>
      <c r="E40" s="26">
        <f t="shared" ref="E40:N40" si="8">SUM(E24:E39)</f>
        <v>233773.37733773375</v>
      </c>
      <c r="F40" s="26">
        <f t="shared" si="8"/>
        <v>0</v>
      </c>
      <c r="G40" s="26">
        <f t="shared" si="8"/>
        <v>77000</v>
      </c>
      <c r="H40" s="26">
        <f t="shared" si="8"/>
        <v>0</v>
      </c>
      <c r="I40" s="26">
        <f t="shared" si="8"/>
        <v>520948.65899999993</v>
      </c>
      <c r="J40" s="26">
        <f t="shared" si="8"/>
        <v>910356.71999999986</v>
      </c>
      <c r="K40" s="26">
        <f t="shared" si="8"/>
        <v>5362</v>
      </c>
      <c r="L40" s="26">
        <f>SUM(L24:L39)</f>
        <v>0</v>
      </c>
      <c r="M40" s="26"/>
      <c r="N40" s="26">
        <f t="shared" si="8"/>
        <v>1747440.7563377339</v>
      </c>
      <c r="O40" s="26">
        <f>N40/CALC!$A$8*CALC!$A$6</f>
        <v>63905.980084832714</v>
      </c>
      <c r="P40" s="26">
        <f>+N40+O40</f>
        <v>1811346.7364225667</v>
      </c>
      <c r="Q40" s="57"/>
      <c r="R40" s="197">
        <f>(+P40/D40)*(1+CALC!$A$2)</f>
        <v>4.3898520906241032</v>
      </c>
    </row>
    <row r="41" spans="1:18" ht="12" thickBot="1">
      <c r="R41" s="36"/>
    </row>
    <row r="42" spans="1:18" ht="12" thickBot="1">
      <c r="A42" s="97" t="s">
        <v>11</v>
      </c>
      <c r="B42" s="98" t="s">
        <v>158</v>
      </c>
      <c r="D42" s="381" t="s">
        <v>44</v>
      </c>
      <c r="E42" s="382"/>
      <c r="F42" s="383"/>
      <c r="R42" s="36"/>
    </row>
    <row r="43" spans="1:18">
      <c r="R43" s="36"/>
    </row>
    <row r="44" spans="1:18">
      <c r="A44" s="22" t="s">
        <v>47</v>
      </c>
      <c r="B44" s="22" t="s">
        <v>48</v>
      </c>
      <c r="C44" s="33">
        <v>54</v>
      </c>
      <c r="D44" s="15">
        <v>50</v>
      </c>
      <c r="E44" s="54">
        <f>+D44/Q44*(CALC!$A$4)</f>
        <v>1250</v>
      </c>
      <c r="F44" s="23">
        <v>2800</v>
      </c>
      <c r="G44" s="23">
        <v>710</v>
      </c>
      <c r="H44" s="23">
        <v>5000</v>
      </c>
      <c r="I44" s="23"/>
      <c r="J44" s="23">
        <v>0</v>
      </c>
      <c r="K44" s="23">
        <v>136</v>
      </c>
      <c r="L44" s="23"/>
      <c r="M44" s="23"/>
      <c r="N44" s="23">
        <f>SUM(E44:K44)</f>
        <v>9896</v>
      </c>
      <c r="O44" s="26">
        <f>N44/CALC!$A$8*CALC!$A$6</f>
        <v>361.90845190363393</v>
      </c>
      <c r="P44" s="23">
        <f>SUM(N44:O44)</f>
        <v>10257.908451903633</v>
      </c>
      <c r="Q44" s="55">
        <v>0.2</v>
      </c>
      <c r="R44" s="34"/>
    </row>
    <row r="45" spans="1:18">
      <c r="A45" s="22"/>
      <c r="B45" s="22"/>
      <c r="C45" s="33"/>
      <c r="D45" s="15"/>
      <c r="E45" s="54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55"/>
      <c r="R45" s="36"/>
    </row>
    <row r="46" spans="1:18" s="30" customFormat="1">
      <c r="A46" s="4"/>
      <c r="B46" s="4" t="s">
        <v>15</v>
      </c>
      <c r="C46" s="42"/>
      <c r="D46" s="28">
        <f t="shared" ref="D46:N46" si="9">SUM(D44:D45)</f>
        <v>50</v>
      </c>
      <c r="E46" s="26">
        <f t="shared" si="9"/>
        <v>1250</v>
      </c>
      <c r="F46" s="26">
        <f t="shared" si="9"/>
        <v>2800</v>
      </c>
      <c r="G46" s="26">
        <f t="shared" si="9"/>
        <v>710</v>
      </c>
      <c r="H46" s="26">
        <f t="shared" si="9"/>
        <v>5000</v>
      </c>
      <c r="I46" s="26">
        <f t="shared" si="9"/>
        <v>0</v>
      </c>
      <c r="J46" s="26">
        <f t="shared" si="9"/>
        <v>0</v>
      </c>
      <c r="K46" s="26">
        <f t="shared" si="9"/>
        <v>136</v>
      </c>
      <c r="L46" s="26">
        <f>SUM(L44:L45)</f>
        <v>0</v>
      </c>
      <c r="M46" s="26"/>
      <c r="N46" s="26">
        <f t="shared" si="9"/>
        <v>9896</v>
      </c>
      <c r="O46" s="26">
        <f>N46/CALC!$A$8*CALC!$A$6</f>
        <v>361.90845190363393</v>
      </c>
      <c r="P46" s="26">
        <f>+N46+O46</f>
        <v>10257.908451903633</v>
      </c>
      <c r="Q46" s="57"/>
      <c r="R46" s="197">
        <f>(+P46/D46)*(1+CALC!$A$2)</f>
        <v>211.31291410921483</v>
      </c>
    </row>
    <row r="47" spans="1:18">
      <c r="R47" s="36"/>
    </row>
    <row r="48" spans="1:18" ht="12" thickBot="1">
      <c r="R48" s="36"/>
    </row>
    <row r="49" spans="1:18" ht="12" thickBot="1">
      <c r="A49" s="97" t="s">
        <v>11</v>
      </c>
      <c r="B49" s="98" t="s">
        <v>159</v>
      </c>
      <c r="D49" s="381" t="s">
        <v>26</v>
      </c>
      <c r="E49" s="382"/>
      <c r="F49" s="383"/>
      <c r="R49" s="36"/>
    </row>
    <row r="50" spans="1:18">
      <c r="R50" s="36"/>
    </row>
    <row r="51" spans="1:18">
      <c r="A51" s="22" t="s">
        <v>49</v>
      </c>
      <c r="B51" s="22" t="s">
        <v>26</v>
      </c>
      <c r="C51" s="33">
        <v>133</v>
      </c>
      <c r="D51" s="15">
        <v>300</v>
      </c>
      <c r="E51" s="54">
        <f>+D51/Q51*(CALC!$A$4)</f>
        <v>5555.5555555555557</v>
      </c>
      <c r="F51" s="23">
        <v>10000</v>
      </c>
      <c r="G51" s="23">
        <v>6200</v>
      </c>
      <c r="H51" s="23">
        <v>20000</v>
      </c>
      <c r="I51" s="23"/>
      <c r="J51" s="23">
        <v>0</v>
      </c>
      <c r="K51" s="23">
        <v>136</v>
      </c>
      <c r="L51" s="23"/>
      <c r="M51" s="23"/>
      <c r="N51" s="23">
        <f>SUM(E51:M51)</f>
        <v>41891.555555555555</v>
      </c>
      <c r="O51" s="26">
        <f>N51/CALC!$A$8*CALC!$A$6</f>
        <v>1532.0238499339316</v>
      </c>
      <c r="P51" s="23">
        <f>+N51+O51</f>
        <v>43423.579405489487</v>
      </c>
      <c r="Q51" s="55">
        <v>0.27</v>
      </c>
      <c r="R51" s="36"/>
    </row>
    <row r="52" spans="1:18">
      <c r="A52" s="22"/>
      <c r="B52" s="22"/>
      <c r="C52" s="33"/>
      <c r="D52" s="15"/>
      <c r="E52" s="54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55"/>
      <c r="R52" s="36"/>
    </row>
    <row r="53" spans="1:18" s="30" customFormat="1">
      <c r="A53" s="4"/>
      <c r="B53" s="4" t="s">
        <v>15</v>
      </c>
      <c r="C53" s="42"/>
      <c r="D53" s="28">
        <f t="shared" ref="D53:N53" si="10">SUM(D51:D52)</f>
        <v>300</v>
      </c>
      <c r="E53" s="26">
        <f t="shared" si="10"/>
        <v>5555.5555555555557</v>
      </c>
      <c r="F53" s="26">
        <f t="shared" si="10"/>
        <v>10000</v>
      </c>
      <c r="G53" s="26">
        <f t="shared" si="10"/>
        <v>6200</v>
      </c>
      <c r="H53" s="26">
        <f t="shared" si="10"/>
        <v>20000</v>
      </c>
      <c r="I53" s="26">
        <f t="shared" si="10"/>
        <v>0</v>
      </c>
      <c r="J53" s="26">
        <f t="shared" si="10"/>
        <v>0</v>
      </c>
      <c r="K53" s="26">
        <f t="shared" si="10"/>
        <v>136</v>
      </c>
      <c r="L53" s="26">
        <f>SUM(L51:L52)</f>
        <v>0</v>
      </c>
      <c r="M53" s="26"/>
      <c r="N53" s="26">
        <f t="shared" si="10"/>
        <v>41891.555555555555</v>
      </c>
      <c r="O53" s="26">
        <f>N53/CALC!$A$8*CALC!$A$6</f>
        <v>1532.0238499339316</v>
      </c>
      <c r="P53" s="26">
        <f>+N53+O53</f>
        <v>43423.579405489487</v>
      </c>
      <c r="Q53" s="57"/>
      <c r="R53" s="197">
        <f>(+P53/D53)*(1+CALC!$A$2)</f>
        <v>149.08762262551392</v>
      </c>
    </row>
    <row r="54" spans="1:18" ht="12" thickBot="1">
      <c r="R54" s="36"/>
    </row>
    <row r="55" spans="1:18" ht="12" thickBot="1">
      <c r="A55" s="97" t="s">
        <v>11</v>
      </c>
      <c r="B55" s="98" t="s">
        <v>682</v>
      </c>
      <c r="D55" s="381" t="s">
        <v>309</v>
      </c>
      <c r="E55" s="382"/>
      <c r="F55" s="383"/>
      <c r="R55" s="36"/>
    </row>
    <row r="56" spans="1:18">
      <c r="R56" s="36"/>
    </row>
    <row r="57" spans="1:18" s="18" customFormat="1">
      <c r="A57" s="87"/>
      <c r="B57" s="189" t="s">
        <v>311</v>
      </c>
      <c r="C57" s="78">
        <v>45</v>
      </c>
      <c r="D57" s="70">
        <v>5000</v>
      </c>
      <c r="E57" s="88">
        <f>+D57/Q57*(CALC!$A$4)</f>
        <v>12500</v>
      </c>
      <c r="F57" s="61"/>
      <c r="G57" s="61">
        <v>5800</v>
      </c>
      <c r="H57" s="61">
        <v>22540</v>
      </c>
      <c r="I57" s="61">
        <f>297175.94/5*0.75</f>
        <v>44576.391000000003</v>
      </c>
      <c r="J57" s="61">
        <f>8221.42*12</f>
        <v>98657.040000000008</v>
      </c>
      <c r="K57" s="61">
        <f>+'1-10'!R36</f>
        <v>1838</v>
      </c>
      <c r="L57" s="61"/>
      <c r="M57" s="61"/>
      <c r="N57" s="61">
        <f t="shared" ref="N57:N60" si="11">SUM(E57:M57)</f>
        <v>185911.43100000001</v>
      </c>
      <c r="O57" s="56">
        <f>N57/CALC!$A$8*CALC!$A$6</f>
        <v>6799.0014333467325</v>
      </c>
      <c r="P57" s="61">
        <f>+N57+O57</f>
        <v>192710.43243334675</v>
      </c>
      <c r="Q57" s="72">
        <v>2</v>
      </c>
      <c r="R57" s="73"/>
    </row>
    <row r="58" spans="1:18" s="18" customFormat="1">
      <c r="A58" s="87"/>
      <c r="B58" s="189" t="s">
        <v>312</v>
      </c>
      <c r="C58" s="78">
        <v>47</v>
      </c>
      <c r="D58" s="70">
        <v>10000</v>
      </c>
      <c r="E58" s="88">
        <f>+D58/Q58*(CALC!$A$4)</f>
        <v>25000</v>
      </c>
      <c r="F58" s="61"/>
      <c r="G58" s="61">
        <v>1800</v>
      </c>
      <c r="H58" s="61">
        <v>20000</v>
      </c>
      <c r="I58" s="61">
        <f t="shared" ref="I58:I60" si="12">297175.94/5*0.75</f>
        <v>44576.391000000003</v>
      </c>
      <c r="J58" s="61">
        <f t="shared" ref="J58:J60" si="13">8221.42*12</f>
        <v>98657.040000000008</v>
      </c>
      <c r="K58" s="61">
        <f>+'1-10'!R37</f>
        <v>1838</v>
      </c>
      <c r="L58" s="61"/>
      <c r="M58" s="61"/>
      <c r="N58" s="61">
        <f t="shared" si="11"/>
        <v>191871.43100000001</v>
      </c>
      <c r="O58" s="56">
        <f>N58/CALC!$A$8*CALC!$A$6</f>
        <v>7016.9656990445565</v>
      </c>
      <c r="P58" s="61">
        <f t="shared" ref="P58:P60" si="14">+N58+O58</f>
        <v>198888.39669904456</v>
      </c>
      <c r="Q58" s="72">
        <v>2</v>
      </c>
      <c r="R58" s="73"/>
    </row>
    <row r="59" spans="1:18" s="18" customFormat="1">
      <c r="A59" s="87"/>
      <c r="B59" s="189" t="s">
        <v>313</v>
      </c>
      <c r="C59" s="78">
        <v>48</v>
      </c>
      <c r="D59" s="70">
        <v>15000</v>
      </c>
      <c r="E59" s="88">
        <f>+D59/Q59*(CALC!$A$4)</f>
        <v>37500</v>
      </c>
      <c r="F59" s="61"/>
      <c r="G59" s="61">
        <v>1800</v>
      </c>
      <c r="H59" s="61">
        <v>20000</v>
      </c>
      <c r="I59" s="61">
        <f t="shared" si="12"/>
        <v>44576.391000000003</v>
      </c>
      <c r="J59" s="61">
        <f t="shared" si="13"/>
        <v>98657.040000000008</v>
      </c>
      <c r="K59" s="61">
        <f>+'1-10'!R38</f>
        <v>1838</v>
      </c>
      <c r="L59" s="61"/>
      <c r="M59" s="61"/>
      <c r="N59" s="61">
        <f t="shared" si="11"/>
        <v>204371.43100000001</v>
      </c>
      <c r="O59" s="56">
        <f>N59/CALC!$A$8*CALC!$A$6</f>
        <v>7474.1055180416679</v>
      </c>
      <c r="P59" s="61">
        <f t="shared" si="14"/>
        <v>211845.53651804168</v>
      </c>
      <c r="Q59" s="72">
        <v>2</v>
      </c>
      <c r="R59" s="73"/>
    </row>
    <row r="60" spans="1:18" s="18" customFormat="1">
      <c r="A60" s="87"/>
      <c r="B60" s="189" t="s">
        <v>314</v>
      </c>
      <c r="C60" s="78">
        <v>49</v>
      </c>
      <c r="D60" s="70">
        <v>10000</v>
      </c>
      <c r="E60" s="88">
        <f>+D60/Q60*(CALC!$A$4)</f>
        <v>25000</v>
      </c>
      <c r="F60" s="61"/>
      <c r="G60" s="61">
        <v>1800</v>
      </c>
      <c r="H60" s="61">
        <v>13150</v>
      </c>
      <c r="I60" s="61">
        <f t="shared" si="12"/>
        <v>44576.391000000003</v>
      </c>
      <c r="J60" s="61">
        <f t="shared" si="13"/>
        <v>98657.040000000008</v>
      </c>
      <c r="K60" s="61">
        <f>+'1-10'!R39</f>
        <v>1838</v>
      </c>
      <c r="L60" s="61"/>
      <c r="M60" s="61"/>
      <c r="N60" s="61">
        <f t="shared" si="11"/>
        <v>185021.43100000001</v>
      </c>
      <c r="O60" s="56">
        <f>N60/CALC!$A$8*CALC!$A$6</f>
        <v>6766.453078234138</v>
      </c>
      <c r="P60" s="61">
        <f t="shared" si="14"/>
        <v>191787.88407823414</v>
      </c>
      <c r="Q60" s="72">
        <v>2</v>
      </c>
      <c r="R60" s="73"/>
    </row>
    <row r="61" spans="1:18">
      <c r="A61" s="22"/>
      <c r="B61" s="22"/>
      <c r="C61" s="33"/>
      <c r="D61" s="15"/>
      <c r="E61" s="22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55"/>
      <c r="R61" s="36"/>
    </row>
    <row r="62" spans="1:18" s="30" customFormat="1" ht="12" thickBot="1">
      <c r="A62" s="4"/>
      <c r="B62" s="4" t="s">
        <v>15</v>
      </c>
      <c r="C62" s="42"/>
      <c r="D62" s="28">
        <f t="shared" ref="D62:N62" si="15">SUM(D57:D61)</f>
        <v>40000</v>
      </c>
      <c r="E62" s="26">
        <f t="shared" si="15"/>
        <v>100000</v>
      </c>
      <c r="F62" s="26">
        <f t="shared" si="15"/>
        <v>0</v>
      </c>
      <c r="G62" s="26">
        <f t="shared" si="15"/>
        <v>11200</v>
      </c>
      <c r="H62" s="26">
        <f t="shared" si="15"/>
        <v>75690</v>
      </c>
      <c r="I62" s="26">
        <f t="shared" si="15"/>
        <v>178305.56400000001</v>
      </c>
      <c r="J62" s="26">
        <f t="shared" si="15"/>
        <v>394628.16000000003</v>
      </c>
      <c r="K62" s="26">
        <f t="shared" si="15"/>
        <v>7352</v>
      </c>
      <c r="L62" s="26">
        <f t="shared" si="15"/>
        <v>0</v>
      </c>
      <c r="M62" s="26"/>
      <c r="N62" s="26">
        <f t="shared" si="15"/>
        <v>767175.72400000005</v>
      </c>
      <c r="O62" s="26">
        <f>N62/CALC!$A$8*CALC!$A$6</f>
        <v>28056.525728667097</v>
      </c>
      <c r="P62" s="26">
        <f>+N62+O62</f>
        <v>795232.24972866708</v>
      </c>
      <c r="Q62" s="57"/>
      <c r="R62" s="197">
        <f>(+P62/D62)*(1+CALC!$A$2)</f>
        <v>20.477230430513181</v>
      </c>
    </row>
    <row r="63" spans="1:18" ht="12" thickBot="1">
      <c r="A63" s="97" t="s">
        <v>11</v>
      </c>
      <c r="B63" s="98" t="s">
        <v>683</v>
      </c>
      <c r="D63" s="381" t="s">
        <v>310</v>
      </c>
      <c r="E63" s="382"/>
      <c r="F63" s="383"/>
      <c r="R63" s="36"/>
    </row>
    <row r="64" spans="1:18">
      <c r="R64" s="36"/>
    </row>
    <row r="65" spans="1:18" s="18" customFormat="1">
      <c r="A65" s="87"/>
      <c r="B65" s="189" t="s">
        <v>315</v>
      </c>
      <c r="C65" s="78">
        <v>44</v>
      </c>
      <c r="D65" s="70">
        <v>10000</v>
      </c>
      <c r="E65" s="88">
        <f>+D65/Q65*(CALC!$A$4)</f>
        <v>33333.333333333336</v>
      </c>
      <c r="F65" s="61"/>
      <c r="G65" s="61">
        <v>5800</v>
      </c>
      <c r="H65" s="61"/>
      <c r="I65" s="61">
        <f>347126.5/5*0.75</f>
        <v>52068.975000000006</v>
      </c>
      <c r="J65" s="61">
        <v>110734.56</v>
      </c>
      <c r="K65" s="61">
        <f>+'1-10'!R35</f>
        <v>1838</v>
      </c>
      <c r="L65" s="61"/>
      <c r="M65" s="61"/>
      <c r="N65" s="61">
        <f t="shared" ref="N65:N66" si="16">SUM(E65:M65)</f>
        <v>203774.86833333335</v>
      </c>
      <c r="O65" s="56">
        <f>N65/CALC!$A$8*CALC!$A$6</f>
        <v>7452.2885140848339</v>
      </c>
      <c r="P65" s="61">
        <f>+N65+O65</f>
        <v>211227.15684741817</v>
      </c>
      <c r="Q65" s="72">
        <v>1.5</v>
      </c>
      <c r="R65" s="73"/>
    </row>
    <row r="66" spans="1:18" s="18" customFormat="1">
      <c r="A66" s="87"/>
      <c r="B66" s="189" t="s">
        <v>316</v>
      </c>
      <c r="C66" s="78">
        <v>45</v>
      </c>
      <c r="D66" s="70">
        <v>8000</v>
      </c>
      <c r="E66" s="88">
        <f>+D66/Q66*(CALC!$A$4)</f>
        <v>26666.666666666664</v>
      </c>
      <c r="F66" s="61"/>
      <c r="G66" s="61">
        <v>5800</v>
      </c>
      <c r="H66" s="61"/>
      <c r="I66" s="61">
        <f>347126.5/5*0.75</f>
        <v>52068.975000000006</v>
      </c>
      <c r="J66" s="61">
        <v>110734.56</v>
      </c>
      <c r="K66" s="61">
        <f>+'1-10'!R44</f>
        <v>1838</v>
      </c>
      <c r="L66" s="61"/>
      <c r="M66" s="61"/>
      <c r="N66" s="61">
        <f t="shared" si="16"/>
        <v>197108.20166666666</v>
      </c>
      <c r="O66" s="56">
        <f>N66/CALC!$A$8*CALC!$A$6</f>
        <v>7208.4806106197057</v>
      </c>
      <c r="P66" s="61">
        <f t="shared" ref="P66" si="17">+N66+O66</f>
        <v>204316.68227728637</v>
      </c>
      <c r="Q66" s="72">
        <v>1.5</v>
      </c>
      <c r="R66" s="73"/>
    </row>
    <row r="67" spans="1:18">
      <c r="A67" s="77"/>
      <c r="B67" s="22"/>
      <c r="C67" s="33"/>
      <c r="D67" s="15"/>
      <c r="E67" s="54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55"/>
      <c r="R67" s="36"/>
    </row>
    <row r="68" spans="1:18" s="30" customFormat="1">
      <c r="A68" s="4"/>
      <c r="B68" s="4" t="s">
        <v>15</v>
      </c>
      <c r="C68" s="42"/>
      <c r="D68" s="28">
        <f t="shared" ref="D68:N68" si="18">SUM(D65:D67)</f>
        <v>18000</v>
      </c>
      <c r="E68" s="26">
        <f t="shared" si="18"/>
        <v>60000</v>
      </c>
      <c r="F68" s="26">
        <f t="shared" si="18"/>
        <v>0</v>
      </c>
      <c r="G68" s="26">
        <f t="shared" si="18"/>
        <v>11600</v>
      </c>
      <c r="H68" s="26">
        <f t="shared" si="18"/>
        <v>0</v>
      </c>
      <c r="I68" s="26">
        <f t="shared" si="18"/>
        <v>104137.95000000001</v>
      </c>
      <c r="J68" s="26">
        <f t="shared" si="18"/>
        <v>221469.12</v>
      </c>
      <c r="K68" s="26">
        <f t="shared" si="18"/>
        <v>3676</v>
      </c>
      <c r="L68" s="26">
        <f t="shared" si="18"/>
        <v>0</v>
      </c>
      <c r="M68" s="26"/>
      <c r="N68" s="26">
        <f t="shared" si="18"/>
        <v>400883.07</v>
      </c>
      <c r="O68" s="26">
        <f>N68/CALC!$A$8*CALC!$A$6</f>
        <v>14660.769124704539</v>
      </c>
      <c r="P68" s="26">
        <f>+N68+O68</f>
        <v>415543.83912470454</v>
      </c>
      <c r="Q68" s="57"/>
      <c r="R68" s="197">
        <f>(+P68/D68)*(1+CALC!$A$2)</f>
        <v>23.778341905469205</v>
      </c>
    </row>
    <row r="69" spans="1:18" ht="12" thickBot="1">
      <c r="D69" s="39"/>
      <c r="R69" s="36"/>
    </row>
    <row r="70" spans="1:18" ht="12" thickBot="1">
      <c r="A70" s="97" t="s">
        <v>11</v>
      </c>
      <c r="B70" s="98" t="s">
        <v>684</v>
      </c>
      <c r="D70" s="381" t="s">
        <v>317</v>
      </c>
      <c r="E70" s="382"/>
      <c r="F70" s="383"/>
      <c r="R70" s="36"/>
    </row>
    <row r="71" spans="1:18">
      <c r="E71" s="18"/>
      <c r="F71" s="18"/>
      <c r="R71" s="36"/>
    </row>
    <row r="72" spans="1:18" s="18" customFormat="1">
      <c r="A72" s="87"/>
      <c r="B72" s="189" t="s">
        <v>318</v>
      </c>
      <c r="C72" s="78">
        <v>53</v>
      </c>
      <c r="D72" s="70">
        <v>10000</v>
      </c>
      <c r="E72" s="88">
        <f>+D72/Q72*(CALC!$A$4)</f>
        <v>33333.333333333336</v>
      </c>
      <c r="F72" s="61"/>
      <c r="G72" s="61">
        <v>1800</v>
      </c>
      <c r="H72" s="61">
        <v>40000</v>
      </c>
      <c r="I72" s="61">
        <f>599155/5*0.75</f>
        <v>89873.25</v>
      </c>
      <c r="J72" s="61">
        <v>159120.12</v>
      </c>
      <c r="K72" s="61">
        <f>+'1-10'!R43</f>
        <v>5284</v>
      </c>
      <c r="L72" s="61"/>
      <c r="M72" s="61"/>
      <c r="N72" s="61">
        <f>SUM(E72:M72)</f>
        <v>329410.70333333337</v>
      </c>
      <c r="O72" s="56">
        <f>N72/CALC!$A$8*CALC!$A$6</f>
        <v>12046.93994380092</v>
      </c>
      <c r="P72" s="61">
        <f>+N72+O72</f>
        <v>341457.64327713428</v>
      </c>
      <c r="Q72" s="72">
        <v>1.5</v>
      </c>
      <c r="R72" s="73"/>
    </row>
    <row r="73" spans="1:18">
      <c r="A73" s="22"/>
      <c r="B73" s="22"/>
      <c r="C73" s="33"/>
      <c r="D73" s="15"/>
      <c r="E73" s="54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>
        <f>+N73+O73</f>
        <v>0</v>
      </c>
      <c r="Q73" s="55"/>
      <c r="R73" s="36"/>
    </row>
    <row r="74" spans="1:18" s="30" customFormat="1" ht="12" thickBot="1">
      <c r="A74" s="4"/>
      <c r="B74" s="4" t="s">
        <v>15</v>
      </c>
      <c r="C74" s="42"/>
      <c r="D74" s="28">
        <f t="shared" ref="D74:N74" si="19">SUM(D72:D73)</f>
        <v>10000</v>
      </c>
      <c r="E74" s="26">
        <f t="shared" si="19"/>
        <v>33333.333333333336</v>
      </c>
      <c r="F74" s="26">
        <f t="shared" si="19"/>
        <v>0</v>
      </c>
      <c r="G74" s="26">
        <f t="shared" si="19"/>
        <v>1800</v>
      </c>
      <c r="H74" s="26">
        <f t="shared" si="19"/>
        <v>40000</v>
      </c>
      <c r="I74" s="26">
        <f t="shared" si="19"/>
        <v>89873.25</v>
      </c>
      <c r="J74" s="26">
        <f t="shared" si="19"/>
        <v>159120.12</v>
      </c>
      <c r="K74" s="26">
        <f t="shared" si="19"/>
        <v>5284</v>
      </c>
      <c r="L74" s="26">
        <f t="shared" si="19"/>
        <v>0</v>
      </c>
      <c r="M74" s="26"/>
      <c r="N74" s="26">
        <f t="shared" si="19"/>
        <v>329410.70333333337</v>
      </c>
      <c r="O74" s="26">
        <f>N74/CALC!$A$8*CALC!$A$6</f>
        <v>12046.93994380092</v>
      </c>
      <c r="P74" s="26">
        <f>+N74+O74</f>
        <v>341457.64327713428</v>
      </c>
      <c r="Q74" s="57"/>
      <c r="R74" s="197">
        <f>(+P74/D74)*(1+CALC!$A$2)</f>
        <v>35.17013725754483</v>
      </c>
    </row>
    <row r="75" spans="1:18" ht="12" thickBot="1">
      <c r="A75" s="97" t="s">
        <v>11</v>
      </c>
      <c r="B75" s="98" t="s">
        <v>685</v>
      </c>
      <c r="D75" s="381" t="s">
        <v>319</v>
      </c>
      <c r="E75" s="382"/>
      <c r="F75" s="383"/>
      <c r="R75" s="36"/>
    </row>
    <row r="76" spans="1:18">
      <c r="E76" s="18"/>
      <c r="F76" s="18"/>
      <c r="R76" s="36"/>
    </row>
    <row r="77" spans="1:18" s="18" customFormat="1">
      <c r="A77" s="87"/>
      <c r="B77" s="189" t="s">
        <v>320</v>
      </c>
      <c r="C77" s="78">
        <v>51</v>
      </c>
      <c r="D77" s="70">
        <v>15000</v>
      </c>
      <c r="E77" s="88">
        <f>+D77/Q77*(CALC!$A$4)</f>
        <v>50000</v>
      </c>
      <c r="F77" s="61"/>
      <c r="G77" s="61">
        <v>1800</v>
      </c>
      <c r="H77" s="61">
        <v>40000</v>
      </c>
      <c r="I77" s="61">
        <f>663469.5/5*0.75</f>
        <v>99520.424999999988</v>
      </c>
      <c r="J77" s="61">
        <v>187750.32</v>
      </c>
      <c r="K77" s="61">
        <f>+'1-10'!R41</f>
        <v>5284</v>
      </c>
      <c r="L77" s="61"/>
      <c r="M77" s="61"/>
      <c r="N77" s="61">
        <f>SUM(E77:M77)</f>
        <v>384354.745</v>
      </c>
      <c r="O77" s="56">
        <f>N77/CALC!$A$8*CALC!$A$6</f>
        <v>14056.308684798503</v>
      </c>
      <c r="P77" s="61">
        <f>+N77+O77</f>
        <v>398411.05368479848</v>
      </c>
      <c r="Q77" s="72">
        <v>1.5</v>
      </c>
      <c r="R77" s="73"/>
    </row>
    <row r="78" spans="1:18" s="18" customFormat="1">
      <c r="A78" s="87"/>
      <c r="B78" s="189" t="s">
        <v>321</v>
      </c>
      <c r="C78" s="78">
        <v>52</v>
      </c>
      <c r="D78" s="70">
        <v>10000</v>
      </c>
      <c r="E78" s="88">
        <f>+D78/Q78*(CALC!$A$4)</f>
        <v>33333.333333333336</v>
      </c>
      <c r="F78" s="61"/>
      <c r="G78" s="61">
        <v>2500</v>
      </c>
      <c r="H78" s="61">
        <v>12525</v>
      </c>
      <c r="I78" s="61">
        <f>663469.5/5*0.75</f>
        <v>99520.424999999988</v>
      </c>
      <c r="J78" s="61">
        <v>187750.32</v>
      </c>
      <c r="K78" s="61">
        <f>+'1-10'!R42</f>
        <v>5284</v>
      </c>
      <c r="L78" s="61"/>
      <c r="M78" s="61"/>
      <c r="N78" s="61">
        <f>SUM(E78:M78)</f>
        <v>340913.07833333337</v>
      </c>
      <c r="O78" s="56">
        <f>N78/CALC!$A$8*CALC!$A$6</f>
        <v>12467.595433843873</v>
      </c>
      <c r="P78" s="61">
        <f>+N78+O78</f>
        <v>353380.67376717721</v>
      </c>
      <c r="Q78" s="72">
        <v>1.5</v>
      </c>
      <c r="R78" s="73"/>
    </row>
    <row r="79" spans="1:18" s="18" customFormat="1">
      <c r="A79" s="87"/>
      <c r="B79" s="87"/>
      <c r="C79" s="78"/>
      <c r="D79" s="70"/>
      <c r="E79" s="88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>
        <f>+N79+O79</f>
        <v>0</v>
      </c>
      <c r="Q79" s="72"/>
      <c r="R79" s="73"/>
    </row>
    <row r="80" spans="1:18">
      <c r="A80" s="22"/>
      <c r="B80" s="22"/>
      <c r="C80" s="33"/>
      <c r="D80" s="15"/>
      <c r="E80" s="54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>
        <f>+N80+O80</f>
        <v>0</v>
      </c>
      <c r="Q80" s="55"/>
      <c r="R80" s="36"/>
    </row>
    <row r="81" spans="1:18" s="30" customFormat="1">
      <c r="A81" s="4"/>
      <c r="B81" s="4" t="s">
        <v>15</v>
      </c>
      <c r="C81" s="42"/>
      <c r="D81" s="28">
        <f t="shared" ref="D81:N81" si="20">SUM(D77:D80)</f>
        <v>25000</v>
      </c>
      <c r="E81" s="26">
        <f t="shared" si="20"/>
        <v>83333.333333333343</v>
      </c>
      <c r="F81" s="26">
        <f t="shared" si="20"/>
        <v>0</v>
      </c>
      <c r="G81" s="26">
        <f t="shared" si="20"/>
        <v>4300</v>
      </c>
      <c r="H81" s="26">
        <f t="shared" si="20"/>
        <v>52525</v>
      </c>
      <c r="I81" s="26">
        <f t="shared" si="20"/>
        <v>199040.84999999998</v>
      </c>
      <c r="J81" s="26">
        <f t="shared" si="20"/>
        <v>375500.64</v>
      </c>
      <c r="K81" s="26">
        <f t="shared" si="20"/>
        <v>10568</v>
      </c>
      <c r="L81" s="26">
        <f>SUM(L77:L80)</f>
        <v>0</v>
      </c>
      <c r="M81" s="26"/>
      <c r="N81" s="26">
        <f t="shared" si="20"/>
        <v>725267.82333333336</v>
      </c>
      <c r="O81" s="26">
        <f>N81/CALC!$A$8*CALC!$A$6</f>
        <v>26523.904118642375</v>
      </c>
      <c r="P81" s="26">
        <f>+N81+O81</f>
        <v>751791.72745197569</v>
      </c>
      <c r="Q81" s="57"/>
      <c r="R81" s="197">
        <f>(+P81/D81)*(1+CALC!$A$2)</f>
        <v>30.9738191710214</v>
      </c>
    </row>
    <row r="82" spans="1:18" s="30" customFormat="1" ht="12" thickBot="1">
      <c r="A82" s="59"/>
      <c r="B82" s="59"/>
      <c r="C82" s="63"/>
      <c r="D82" s="64"/>
      <c r="E82" s="65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197"/>
    </row>
    <row r="83" spans="1:18" ht="12" thickBot="1">
      <c r="A83" s="97" t="s">
        <v>11</v>
      </c>
      <c r="B83" s="98" t="s">
        <v>697</v>
      </c>
      <c r="D83" s="381" t="s">
        <v>632</v>
      </c>
      <c r="E83" s="382"/>
      <c r="F83" s="383"/>
      <c r="R83" s="36"/>
    </row>
    <row r="84" spans="1:18">
      <c r="R84" s="36"/>
    </row>
    <row r="85" spans="1:18" s="18" customFormat="1">
      <c r="A85" s="87"/>
      <c r="B85" s="87"/>
      <c r="C85" s="78"/>
      <c r="D85" s="70">
        <v>20000</v>
      </c>
      <c r="E85" s="329">
        <f>+D85/2.5*11.5</f>
        <v>92000</v>
      </c>
      <c r="F85" s="61"/>
      <c r="G85" s="61">
        <v>8500</v>
      </c>
      <c r="H85" s="61">
        <f>151160/3</f>
        <v>50386.666666666664</v>
      </c>
      <c r="I85" s="61">
        <f>211296*0.75</f>
        <v>158472</v>
      </c>
      <c r="J85" s="61">
        <f>Sheet1!H9</f>
        <v>159549.72</v>
      </c>
      <c r="K85" s="61">
        <v>8500</v>
      </c>
      <c r="L85" s="61"/>
      <c r="M85" s="61"/>
      <c r="N85" s="61">
        <f>SUM(E85:M85)</f>
        <v>477408.3866666666</v>
      </c>
      <c r="O85" s="56">
        <f>N85/CALC!$A$8*CALC!$A$6</f>
        <v>17459.390677480274</v>
      </c>
      <c r="P85" s="61">
        <f>+N85+O85</f>
        <v>494867.77734414686</v>
      </c>
      <c r="Q85" s="72">
        <v>0.15</v>
      </c>
      <c r="R85" s="73"/>
    </row>
    <row r="86" spans="1:18">
      <c r="A86" s="22"/>
      <c r="B86" s="22"/>
      <c r="C86" s="33"/>
      <c r="D86" s="15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55"/>
      <c r="R86" s="36"/>
    </row>
    <row r="87" spans="1:18" s="30" customFormat="1">
      <c r="A87" s="59"/>
      <c r="B87" s="4" t="s">
        <v>15</v>
      </c>
      <c r="C87" s="42"/>
      <c r="D87" s="28">
        <f t="shared" ref="D87" si="21">SUM(D85:D86)</f>
        <v>20000</v>
      </c>
      <c r="E87" s="26">
        <f t="shared" ref="E87:K87" si="22">SUM(E85:E86)</f>
        <v>92000</v>
      </c>
      <c r="F87" s="26">
        <f t="shared" si="22"/>
        <v>0</v>
      </c>
      <c r="G87" s="26">
        <f t="shared" si="22"/>
        <v>8500</v>
      </c>
      <c r="H87" s="26">
        <f t="shared" si="22"/>
        <v>50386.666666666664</v>
      </c>
      <c r="I87" s="26">
        <f t="shared" si="22"/>
        <v>158472</v>
      </c>
      <c r="J87" s="26">
        <f t="shared" si="22"/>
        <v>159549.72</v>
      </c>
      <c r="K87" s="26">
        <f t="shared" si="22"/>
        <v>8500</v>
      </c>
      <c r="L87" s="26"/>
      <c r="M87" s="26"/>
      <c r="N87" s="26">
        <f>SUM(N85:N86)</f>
        <v>477408.3866666666</v>
      </c>
      <c r="O87" s="26">
        <f>N87/CALC!$A$8*CALC!$A$6</f>
        <v>17459.390677480274</v>
      </c>
      <c r="P87" s="26">
        <f>+N87+O87</f>
        <v>494867.77734414686</v>
      </c>
      <c r="Q87" s="57"/>
      <c r="R87" s="197">
        <f>(+P87/D87)*(1+CALC!$A$2)</f>
        <v>25.485690533223565</v>
      </c>
    </row>
    <row r="88" spans="1:18" s="30" customFormat="1" ht="12" thickBot="1">
      <c r="A88" s="59"/>
      <c r="B88" s="59"/>
      <c r="C88" s="63"/>
      <c r="D88" s="64"/>
      <c r="E88" s="65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197"/>
    </row>
    <row r="89" spans="1:18" ht="12" thickBot="1">
      <c r="A89" s="97" t="s">
        <v>11</v>
      </c>
      <c r="B89" s="98" t="s">
        <v>160</v>
      </c>
      <c r="D89" s="381" t="s">
        <v>16</v>
      </c>
      <c r="E89" s="382"/>
      <c r="F89" s="383"/>
      <c r="R89" s="36"/>
    </row>
    <row r="90" spans="1:18">
      <c r="R90" s="36"/>
    </row>
    <row r="91" spans="1:18">
      <c r="A91" s="22" t="s">
        <v>52</v>
      </c>
      <c r="B91" s="22" t="s">
        <v>17</v>
      </c>
      <c r="C91" s="33">
        <v>56</v>
      </c>
      <c r="D91" s="15"/>
      <c r="E91" s="54"/>
      <c r="F91" s="23"/>
      <c r="G91" s="23">
        <v>710</v>
      </c>
      <c r="H91" s="23">
        <v>3500</v>
      </c>
      <c r="I91" s="23"/>
      <c r="J91" s="23"/>
      <c r="K91" s="23">
        <v>136</v>
      </c>
      <c r="L91" s="23"/>
      <c r="M91" s="23"/>
      <c r="N91" s="23">
        <f>SUM(E91:M91)</f>
        <v>4346</v>
      </c>
      <c r="O91" s="26">
        <f>N91/CALC!$A$8*CALC!$A$6</f>
        <v>158.93837226891603</v>
      </c>
      <c r="P91" s="23">
        <f>+N91+O91</f>
        <v>4504.9383722689163</v>
      </c>
      <c r="Q91" s="34"/>
      <c r="R91" s="36"/>
    </row>
    <row r="92" spans="1:18">
      <c r="A92" s="22" t="s">
        <v>53</v>
      </c>
      <c r="B92" s="22" t="s">
        <v>17</v>
      </c>
      <c r="C92" s="33">
        <v>57</v>
      </c>
      <c r="D92" s="15"/>
      <c r="E92" s="54"/>
      <c r="F92" s="23"/>
      <c r="G92" s="23">
        <v>710</v>
      </c>
      <c r="H92" s="23">
        <v>3510</v>
      </c>
      <c r="I92" s="23"/>
      <c r="J92" s="23"/>
      <c r="K92" s="23">
        <v>136</v>
      </c>
      <c r="L92" s="23"/>
      <c r="M92" s="23"/>
      <c r="N92" s="23">
        <f t="shared" ref="N92:N97" si="23">SUM(E92:M92)</f>
        <v>4356</v>
      </c>
      <c r="O92" s="26">
        <f>N92/CALC!$A$8*CALC!$A$6</f>
        <v>159.30408412411373</v>
      </c>
      <c r="P92" s="23">
        <f t="shared" ref="P92:P97" si="24">+N92+O92</f>
        <v>4515.3040841241136</v>
      </c>
      <c r="Q92" s="34"/>
      <c r="R92" s="36"/>
    </row>
    <row r="93" spans="1:18">
      <c r="A93" s="22" t="s">
        <v>54</v>
      </c>
      <c r="B93" s="22" t="s">
        <v>41</v>
      </c>
      <c r="C93" s="33">
        <v>58</v>
      </c>
      <c r="D93" s="15"/>
      <c r="E93" s="54"/>
      <c r="F93" s="23"/>
      <c r="G93" s="23">
        <v>710</v>
      </c>
      <c r="H93" s="23">
        <v>3510</v>
      </c>
      <c r="I93" s="23"/>
      <c r="J93" s="23"/>
      <c r="K93" s="23">
        <v>214</v>
      </c>
      <c r="L93" s="23"/>
      <c r="M93" s="23"/>
      <c r="N93" s="23">
        <f t="shared" si="23"/>
        <v>4434</v>
      </c>
      <c r="O93" s="26">
        <f>N93/CALC!$A$8*CALC!$A$6</f>
        <v>162.15663659465571</v>
      </c>
      <c r="P93" s="23">
        <f t="shared" si="24"/>
        <v>4596.1566365946555</v>
      </c>
      <c r="Q93" s="34"/>
      <c r="R93" s="36"/>
    </row>
    <row r="94" spans="1:18">
      <c r="A94" s="22" t="s">
        <v>55</v>
      </c>
      <c r="B94" s="22" t="s">
        <v>59</v>
      </c>
      <c r="C94" s="33">
        <v>59</v>
      </c>
      <c r="D94" s="15"/>
      <c r="E94" s="54"/>
      <c r="F94" s="23"/>
      <c r="G94" s="23">
        <v>710</v>
      </c>
      <c r="H94" s="23">
        <v>3510</v>
      </c>
      <c r="I94" s="23"/>
      <c r="J94" s="23"/>
      <c r="K94" s="23">
        <v>214</v>
      </c>
      <c r="L94" s="23"/>
      <c r="M94" s="23"/>
      <c r="N94" s="23">
        <f t="shared" si="23"/>
        <v>4434</v>
      </c>
      <c r="O94" s="26">
        <f>N94/CALC!$A$8*CALC!$A$6</f>
        <v>162.15663659465571</v>
      </c>
      <c r="P94" s="23">
        <f t="shared" si="24"/>
        <v>4596.1566365946555</v>
      </c>
      <c r="Q94" s="34"/>
      <c r="R94" s="36"/>
    </row>
    <row r="95" spans="1:18">
      <c r="A95" s="22" t="s">
        <v>56</v>
      </c>
      <c r="B95" s="22" t="s">
        <v>60</v>
      </c>
      <c r="C95" s="33">
        <v>60</v>
      </c>
      <c r="D95" s="15"/>
      <c r="E95" s="54"/>
      <c r="F95" s="23"/>
      <c r="G95" s="23">
        <v>710</v>
      </c>
      <c r="H95" s="23">
        <v>3510</v>
      </c>
      <c r="I95" s="23"/>
      <c r="J95" s="23"/>
      <c r="K95" s="23">
        <v>214</v>
      </c>
      <c r="L95" s="23"/>
      <c r="M95" s="23"/>
      <c r="N95" s="23">
        <f t="shared" si="23"/>
        <v>4434</v>
      </c>
      <c r="O95" s="26">
        <f>N95/CALC!$A$8*CALC!$A$6</f>
        <v>162.15663659465571</v>
      </c>
      <c r="P95" s="23">
        <f t="shared" si="24"/>
        <v>4596.1566365946555</v>
      </c>
      <c r="Q95" s="34"/>
      <c r="R95" s="36"/>
    </row>
    <row r="96" spans="1:18">
      <c r="A96" s="22" t="s">
        <v>57</v>
      </c>
      <c r="B96" s="22" t="s">
        <v>61</v>
      </c>
      <c r="C96" s="33">
        <v>171</v>
      </c>
      <c r="D96" s="15"/>
      <c r="E96" s="54"/>
      <c r="F96" s="23"/>
      <c r="G96" s="23">
        <v>710</v>
      </c>
      <c r="H96" s="23">
        <v>25045</v>
      </c>
      <c r="I96" s="23"/>
      <c r="J96" s="23"/>
      <c r="K96" s="23">
        <v>293</v>
      </c>
      <c r="L96" s="23"/>
      <c r="M96" s="23"/>
      <c r="N96" s="23">
        <f t="shared" si="23"/>
        <v>26048</v>
      </c>
      <c r="O96" s="26">
        <f>N96/CALC!$A$8*CALC!$A$6</f>
        <v>952.60624041894266</v>
      </c>
      <c r="P96" s="23">
        <f t="shared" si="24"/>
        <v>27000.606240418943</v>
      </c>
      <c r="Q96" s="34"/>
      <c r="R96" s="36"/>
    </row>
    <row r="97" spans="1:19">
      <c r="A97" s="22" t="s">
        <v>58</v>
      </c>
      <c r="B97" s="22" t="s">
        <v>62</v>
      </c>
      <c r="C97" s="33">
        <v>172</v>
      </c>
      <c r="D97" s="15"/>
      <c r="E97" s="54"/>
      <c r="F97" s="23"/>
      <c r="G97" s="23">
        <v>710</v>
      </c>
      <c r="H97" s="23">
        <v>5010</v>
      </c>
      <c r="I97" s="23">
        <v>0</v>
      </c>
      <c r="J97" s="23"/>
      <c r="K97" s="23">
        <v>293</v>
      </c>
      <c r="L97" s="23"/>
      <c r="M97" s="23"/>
      <c r="N97" s="23">
        <f t="shared" si="23"/>
        <v>6013</v>
      </c>
      <c r="O97" s="26">
        <f>N97/CALC!$A$8*CALC!$A$6</f>
        <v>219.90253853037095</v>
      </c>
      <c r="P97" s="23">
        <f t="shared" si="24"/>
        <v>6232.9025385303712</v>
      </c>
      <c r="Q97" s="34"/>
      <c r="R97" s="36"/>
    </row>
    <row r="98" spans="1:19">
      <c r="A98" s="22"/>
      <c r="B98" s="22"/>
      <c r="C98" s="33"/>
      <c r="D98" s="15"/>
      <c r="E98" s="54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34"/>
      <c r="R98" s="36"/>
    </row>
    <row r="99" spans="1:19" s="30" customFormat="1">
      <c r="A99" s="4"/>
      <c r="B99" s="4" t="s">
        <v>15</v>
      </c>
      <c r="C99" s="42"/>
      <c r="D99" s="28"/>
      <c r="E99" s="26"/>
      <c r="F99" s="26">
        <f t="shared" ref="F99:N99" si="25">SUM(F91:F98)</f>
        <v>0</v>
      </c>
      <c r="G99" s="26">
        <f t="shared" si="25"/>
        <v>4970</v>
      </c>
      <c r="H99" s="26">
        <f t="shared" si="25"/>
        <v>47595</v>
      </c>
      <c r="I99" s="26">
        <f t="shared" si="25"/>
        <v>0</v>
      </c>
      <c r="J99" s="26">
        <f t="shared" si="25"/>
        <v>0</v>
      </c>
      <c r="K99" s="26">
        <f t="shared" si="25"/>
        <v>1500</v>
      </c>
      <c r="L99" s="26">
        <f>SUM(L91:L98)</f>
        <v>0</v>
      </c>
      <c r="M99" s="26"/>
      <c r="N99" s="26">
        <f t="shared" si="25"/>
        <v>54065</v>
      </c>
      <c r="O99" s="26">
        <f>N99/CALC!$A$8*CALC!$A$6</f>
        <v>1977.2211451263106</v>
      </c>
      <c r="P99" s="26">
        <f>+N99+O99</f>
        <v>56042.221145126314</v>
      </c>
      <c r="Q99" s="65"/>
      <c r="R99" s="60"/>
    </row>
    <row r="100" spans="1:19">
      <c r="R100" s="36"/>
    </row>
    <row r="101" spans="1:19" ht="12" thickBot="1">
      <c r="R101" s="36"/>
    </row>
    <row r="102" spans="1:19" s="30" customFormat="1" ht="12" thickBot="1">
      <c r="A102" s="30" t="s">
        <v>109</v>
      </c>
      <c r="B102" s="103" t="s">
        <v>15</v>
      </c>
      <c r="C102" s="104"/>
      <c r="D102" s="105">
        <f>+D10+D19+D40+D46+D53+D62+D68+D74+D81+D99+D87</f>
        <v>633350</v>
      </c>
      <c r="E102" s="106">
        <f t="shared" ref="E102:O102" si="26">+E10+E19+E40+E46+E53+E62+E68+E74+E81+E99</f>
        <v>725988.10330808209</v>
      </c>
      <c r="F102" s="106">
        <f t="shared" si="26"/>
        <v>12800</v>
      </c>
      <c r="G102" s="106">
        <f t="shared" si="26"/>
        <v>141451.81</v>
      </c>
      <c r="H102" s="106">
        <f t="shared" si="26"/>
        <v>240810</v>
      </c>
      <c r="I102" s="106">
        <f t="shared" si="26"/>
        <v>1248780.3539999998</v>
      </c>
      <c r="J102" s="106">
        <f>+J10+J19+J40+J46+J53+J62+J68+J74+J81+J99+J87+J78</f>
        <v>2745591.0000000005</v>
      </c>
      <c r="K102" s="106">
        <f t="shared" si="26"/>
        <v>39857</v>
      </c>
      <c r="L102" s="106">
        <f t="shared" si="26"/>
        <v>0</v>
      </c>
      <c r="M102" s="106"/>
      <c r="N102" s="106">
        <f t="shared" si="26"/>
        <v>4807978.2273080815</v>
      </c>
      <c r="O102" s="106">
        <f t="shared" si="26"/>
        <v>175833.46372589393</v>
      </c>
      <c r="P102" s="106">
        <f>+P10+P19+P40+P46+P53+P62+P68+P74+P81+P99+P87</f>
        <v>5478679.4683781229</v>
      </c>
      <c r="Q102" s="106">
        <f>+Q19+Q40+Q46+Q53+Q68+Q81+Q99</f>
        <v>0</v>
      </c>
      <c r="R102" s="58"/>
      <c r="S102" s="69"/>
    </row>
    <row r="103" spans="1:19">
      <c r="R103" s="36"/>
    </row>
    <row r="104" spans="1:19">
      <c r="R104" s="36"/>
    </row>
    <row r="105" spans="1:19">
      <c r="R105" s="36"/>
    </row>
    <row r="106" spans="1:19">
      <c r="R106" s="36"/>
    </row>
    <row r="107" spans="1:19">
      <c r="R107" s="36"/>
    </row>
    <row r="108" spans="1:19">
      <c r="R108" s="36"/>
    </row>
    <row r="109" spans="1:19">
      <c r="R109" s="36"/>
    </row>
    <row r="110" spans="1:19">
      <c r="R110" s="36"/>
    </row>
    <row r="111" spans="1:19">
      <c r="R111" s="36"/>
    </row>
    <row r="112" spans="1:19">
      <c r="R112" s="36"/>
    </row>
    <row r="113" spans="18:18">
      <c r="R113" s="36"/>
    </row>
    <row r="114" spans="18:18">
      <c r="R114" s="36"/>
    </row>
    <row r="115" spans="18:18">
      <c r="R115" s="36"/>
    </row>
    <row r="116" spans="18:18">
      <c r="R116" s="36"/>
    </row>
    <row r="117" spans="18:18">
      <c r="R117" s="36"/>
    </row>
    <row r="118" spans="18:18">
      <c r="R118" s="36"/>
    </row>
    <row r="119" spans="18:18">
      <c r="R119" s="36"/>
    </row>
    <row r="120" spans="18:18">
      <c r="R120" s="36"/>
    </row>
    <row r="121" spans="18:18">
      <c r="R121" s="36"/>
    </row>
    <row r="122" spans="18:18">
      <c r="R122" s="36"/>
    </row>
    <row r="123" spans="18:18">
      <c r="R123" s="36"/>
    </row>
    <row r="124" spans="18:18">
      <c r="R124" s="36"/>
    </row>
    <row r="125" spans="18:18">
      <c r="R125" s="36"/>
    </row>
    <row r="126" spans="18:18">
      <c r="R126" s="36"/>
    </row>
    <row r="127" spans="18:18">
      <c r="R127" s="36"/>
    </row>
    <row r="128" spans="18:18">
      <c r="R128" s="36"/>
    </row>
    <row r="129" spans="18:18">
      <c r="R129" s="36"/>
    </row>
    <row r="130" spans="18:18">
      <c r="R130" s="36"/>
    </row>
    <row r="131" spans="18:18">
      <c r="R131" s="36"/>
    </row>
    <row r="132" spans="18:18">
      <c r="R132" s="36"/>
    </row>
    <row r="133" spans="18:18">
      <c r="R133" s="36"/>
    </row>
    <row r="134" spans="18:18">
      <c r="R134" s="36"/>
    </row>
    <row r="135" spans="18:18">
      <c r="R135" s="36"/>
    </row>
    <row r="136" spans="18:18">
      <c r="R136" s="36"/>
    </row>
    <row r="137" spans="18:18">
      <c r="R137" s="36"/>
    </row>
    <row r="138" spans="18:18">
      <c r="R138" s="36"/>
    </row>
    <row r="139" spans="18:18">
      <c r="R139" s="36"/>
    </row>
    <row r="140" spans="18:18">
      <c r="R140" s="36"/>
    </row>
    <row r="141" spans="18:18">
      <c r="R141" s="36"/>
    </row>
    <row r="142" spans="18:18">
      <c r="R142" s="36"/>
    </row>
    <row r="143" spans="18:18">
      <c r="R143" s="36"/>
    </row>
    <row r="144" spans="18:18">
      <c r="R144" s="36"/>
    </row>
    <row r="145" spans="6:18">
      <c r="R145" s="36"/>
    </row>
    <row r="146" spans="6:18">
      <c r="R146" s="36"/>
    </row>
    <row r="147" spans="6:18">
      <c r="R147" s="36"/>
    </row>
    <row r="148" spans="6:18">
      <c r="F148" s="2">
        <f>SUM(F139:F147)</f>
        <v>0</v>
      </c>
      <c r="R148" s="36"/>
    </row>
    <row r="149" spans="6:18">
      <c r="R149" s="36"/>
    </row>
    <row r="150" spans="6:18">
      <c r="R150" s="36"/>
    </row>
    <row r="151" spans="6:18">
      <c r="R151" s="36"/>
    </row>
    <row r="152" spans="6:18">
      <c r="R152" s="36"/>
    </row>
    <row r="153" spans="6:18">
      <c r="R153" s="36"/>
    </row>
    <row r="154" spans="6:18">
      <c r="R154" s="36"/>
    </row>
    <row r="155" spans="6:18">
      <c r="R155" s="36"/>
    </row>
    <row r="156" spans="6:18">
      <c r="R156" s="36"/>
    </row>
    <row r="157" spans="6:18">
      <c r="R157" s="36"/>
    </row>
    <row r="158" spans="6:18">
      <c r="R158" s="36"/>
    </row>
    <row r="159" spans="6:18">
      <c r="R159" s="36"/>
    </row>
    <row r="160" spans="6:18">
      <c r="R160" s="36"/>
    </row>
    <row r="161" spans="18:18">
      <c r="R161" s="36"/>
    </row>
    <row r="162" spans="18:18">
      <c r="R162" s="36"/>
    </row>
    <row r="163" spans="18:18">
      <c r="R163" s="36"/>
    </row>
    <row r="164" spans="18:18">
      <c r="R164" s="36"/>
    </row>
    <row r="165" spans="18:18">
      <c r="R165" s="36"/>
    </row>
    <row r="166" spans="18:18">
      <c r="R166" s="36"/>
    </row>
    <row r="167" spans="18:18">
      <c r="R167" s="36"/>
    </row>
    <row r="168" spans="18:18">
      <c r="R168" s="36"/>
    </row>
    <row r="169" spans="18:18">
      <c r="R169" s="36"/>
    </row>
    <row r="170" spans="18:18">
      <c r="R170" s="36"/>
    </row>
    <row r="171" spans="18:18">
      <c r="R171" s="36"/>
    </row>
    <row r="172" spans="18:18">
      <c r="R172" s="36"/>
    </row>
    <row r="173" spans="18:18">
      <c r="R173" s="36"/>
    </row>
    <row r="174" spans="18:18">
      <c r="R174" s="36"/>
    </row>
    <row r="175" spans="18:18">
      <c r="R175" s="36"/>
    </row>
    <row r="176" spans="18:18">
      <c r="R176" s="36"/>
    </row>
    <row r="177" spans="18:18">
      <c r="R177" s="36"/>
    </row>
    <row r="178" spans="18:18">
      <c r="R178" s="36"/>
    </row>
    <row r="179" spans="18:18">
      <c r="R179" s="36"/>
    </row>
    <row r="180" spans="18:18">
      <c r="R180" s="36"/>
    </row>
    <row r="181" spans="18:18">
      <c r="R181" s="36"/>
    </row>
    <row r="182" spans="18:18">
      <c r="R182" s="36"/>
    </row>
    <row r="183" spans="18:18">
      <c r="R183" s="36"/>
    </row>
    <row r="184" spans="18:18">
      <c r="R184" s="36"/>
    </row>
    <row r="185" spans="18:18">
      <c r="R185" s="36"/>
    </row>
    <row r="186" spans="18:18">
      <c r="R186" s="36"/>
    </row>
    <row r="187" spans="18:18">
      <c r="R187" s="36"/>
    </row>
    <row r="188" spans="18:18">
      <c r="R188" s="36"/>
    </row>
    <row r="189" spans="18:18">
      <c r="R189" s="36"/>
    </row>
    <row r="190" spans="18:18">
      <c r="R190" s="36"/>
    </row>
    <row r="191" spans="18:18">
      <c r="R191" s="36"/>
    </row>
    <row r="192" spans="18:18">
      <c r="R192" s="36"/>
    </row>
    <row r="193" spans="18:18">
      <c r="R193" s="36"/>
    </row>
    <row r="194" spans="18:18">
      <c r="R194" s="36"/>
    </row>
    <row r="195" spans="18:18">
      <c r="R195" s="36"/>
    </row>
    <row r="196" spans="18:18">
      <c r="R196" s="36"/>
    </row>
    <row r="197" spans="18:18">
      <c r="R197" s="36"/>
    </row>
    <row r="198" spans="18:18">
      <c r="R198" s="36"/>
    </row>
    <row r="199" spans="18:18">
      <c r="R199" s="36"/>
    </row>
    <row r="200" spans="18:18">
      <c r="R200" s="36"/>
    </row>
    <row r="201" spans="18:18">
      <c r="R201" s="36"/>
    </row>
    <row r="202" spans="18:18">
      <c r="R202" s="36"/>
    </row>
    <row r="203" spans="18:18">
      <c r="R203" s="36"/>
    </row>
    <row r="204" spans="18:18">
      <c r="R204" s="36"/>
    </row>
    <row r="205" spans="18:18">
      <c r="R205" s="36"/>
    </row>
    <row r="206" spans="18:18">
      <c r="R206" s="36"/>
    </row>
    <row r="207" spans="18:18">
      <c r="R207" s="36"/>
    </row>
    <row r="208" spans="18:18">
      <c r="R208" s="36"/>
    </row>
    <row r="209" spans="18:18">
      <c r="R209" s="36"/>
    </row>
    <row r="210" spans="18:18">
      <c r="R210" s="36"/>
    </row>
    <row r="211" spans="18:18">
      <c r="R211" s="36"/>
    </row>
    <row r="212" spans="18:18">
      <c r="R212" s="36"/>
    </row>
    <row r="213" spans="18:18">
      <c r="R213" s="36"/>
    </row>
    <row r="214" spans="18:18">
      <c r="R214" s="36"/>
    </row>
    <row r="215" spans="18:18">
      <c r="R215" s="36"/>
    </row>
    <row r="216" spans="18:18">
      <c r="R216" s="36"/>
    </row>
    <row r="217" spans="18:18">
      <c r="R217" s="36"/>
    </row>
    <row r="218" spans="18:18">
      <c r="R218" s="36"/>
    </row>
    <row r="219" spans="18:18">
      <c r="R219" s="36"/>
    </row>
    <row r="220" spans="18:18">
      <c r="R220" s="36"/>
    </row>
    <row r="221" spans="18:18">
      <c r="R221" s="36"/>
    </row>
    <row r="222" spans="18:18">
      <c r="R222" s="36"/>
    </row>
    <row r="223" spans="18:18">
      <c r="R223" s="36"/>
    </row>
    <row r="224" spans="18:18">
      <c r="R224" s="36"/>
    </row>
    <row r="225" spans="18:18">
      <c r="R225" s="36"/>
    </row>
    <row r="226" spans="18:18">
      <c r="R226" s="36"/>
    </row>
    <row r="227" spans="18:18">
      <c r="R227" s="36"/>
    </row>
    <row r="228" spans="18:18">
      <c r="R228" s="36"/>
    </row>
    <row r="229" spans="18:18">
      <c r="R229" s="36"/>
    </row>
    <row r="230" spans="18:18">
      <c r="R230" s="36"/>
    </row>
    <row r="231" spans="18:18">
      <c r="R231" s="36"/>
    </row>
    <row r="232" spans="18:18">
      <c r="R232" s="36"/>
    </row>
    <row r="233" spans="18:18">
      <c r="R233" s="36"/>
    </row>
    <row r="234" spans="18:18">
      <c r="R234" s="36"/>
    </row>
    <row r="235" spans="18:18">
      <c r="R235" s="36"/>
    </row>
    <row r="236" spans="18:18">
      <c r="R236" s="36"/>
    </row>
    <row r="237" spans="18:18">
      <c r="R237" s="36"/>
    </row>
    <row r="238" spans="18:18">
      <c r="R238" s="36"/>
    </row>
    <row r="239" spans="18:18">
      <c r="R239" s="36"/>
    </row>
    <row r="240" spans="18:18">
      <c r="R240" s="36"/>
    </row>
    <row r="241" spans="18:18">
      <c r="R241" s="36"/>
    </row>
    <row r="242" spans="18:18">
      <c r="R242" s="36"/>
    </row>
    <row r="243" spans="18:18">
      <c r="R243" s="36"/>
    </row>
    <row r="244" spans="18:18">
      <c r="R244" s="36"/>
    </row>
    <row r="245" spans="18:18">
      <c r="R245" s="36"/>
    </row>
    <row r="246" spans="18:18">
      <c r="R246" s="36"/>
    </row>
    <row r="247" spans="18:18">
      <c r="R247" s="36"/>
    </row>
    <row r="248" spans="18:18">
      <c r="R248" s="36"/>
    </row>
    <row r="249" spans="18:18">
      <c r="R249" s="36"/>
    </row>
    <row r="250" spans="18:18">
      <c r="R250" s="36"/>
    </row>
    <row r="251" spans="18:18">
      <c r="R251" s="36"/>
    </row>
    <row r="252" spans="18:18">
      <c r="R252" s="36"/>
    </row>
    <row r="253" spans="18:18">
      <c r="R253" s="36"/>
    </row>
    <row r="254" spans="18:18">
      <c r="R254" s="36"/>
    </row>
    <row r="255" spans="18:18">
      <c r="R255" s="36"/>
    </row>
    <row r="256" spans="18:18">
      <c r="R256" s="36"/>
    </row>
    <row r="257" spans="18:18">
      <c r="R257" s="36"/>
    </row>
    <row r="258" spans="18:18">
      <c r="R258" s="36"/>
    </row>
    <row r="259" spans="18:18">
      <c r="R259" s="36"/>
    </row>
    <row r="260" spans="18:18">
      <c r="R260" s="36"/>
    </row>
    <row r="261" spans="18:18">
      <c r="R261" s="36"/>
    </row>
    <row r="262" spans="18:18">
      <c r="R262" s="36"/>
    </row>
    <row r="263" spans="18:18">
      <c r="R263" s="36"/>
    </row>
    <row r="264" spans="18:18">
      <c r="R264" s="36"/>
    </row>
    <row r="265" spans="18:18">
      <c r="R265" s="36"/>
    </row>
    <row r="266" spans="18:18">
      <c r="R266" s="36"/>
    </row>
    <row r="267" spans="18:18">
      <c r="R267" s="36"/>
    </row>
    <row r="268" spans="18:18">
      <c r="R268" s="36"/>
    </row>
    <row r="269" spans="18:18">
      <c r="R269" s="36"/>
    </row>
    <row r="270" spans="18:18">
      <c r="R270" s="36"/>
    </row>
    <row r="271" spans="18:18">
      <c r="R271" s="36"/>
    </row>
    <row r="272" spans="18:18">
      <c r="R272" s="36"/>
    </row>
    <row r="273" spans="18:18">
      <c r="R273" s="36"/>
    </row>
    <row r="274" spans="18:18">
      <c r="R274" s="36"/>
    </row>
    <row r="275" spans="18:18">
      <c r="R275" s="36"/>
    </row>
    <row r="276" spans="18:18">
      <c r="R276" s="36"/>
    </row>
    <row r="277" spans="18:18">
      <c r="R277" s="36"/>
    </row>
    <row r="278" spans="18:18">
      <c r="R278" s="36"/>
    </row>
    <row r="279" spans="18:18">
      <c r="R279" s="36"/>
    </row>
  </sheetData>
  <mergeCells count="11">
    <mergeCell ref="D89:F89"/>
    <mergeCell ref="D22:F22"/>
    <mergeCell ref="D42:F42"/>
    <mergeCell ref="D49:F49"/>
    <mergeCell ref="D63:F63"/>
    <mergeCell ref="D83:F83"/>
    <mergeCell ref="D5:F5"/>
    <mergeCell ref="D55:F55"/>
    <mergeCell ref="D70:F70"/>
    <mergeCell ref="D12:F12"/>
    <mergeCell ref="D75:F75"/>
  </mergeCells>
  <phoneticPr fontId="0" type="noConversion"/>
  <pageMargins left="0.15748031496062992" right="0" top="0.39370078740157483" bottom="0" header="0" footer="0"/>
  <pageSetup paperSize="8" scale="49" orientation="landscape" r:id="rId1"/>
  <headerFooter alignWithMargins="0"/>
  <rowBreaks count="1" manualBreakCount="1">
    <brk id="62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indexed="48"/>
    <pageSetUpPr fitToPage="1"/>
  </sheetPr>
  <dimension ref="A1:U394"/>
  <sheetViews>
    <sheetView view="pageBreakPreview" zoomScaleSheetLayoutView="100" workbookViewId="0">
      <pane xSplit="3" ySplit="3" topLeftCell="D4" activePane="bottomRight" state="frozen"/>
      <selection activeCell="J41" sqref="J41"/>
      <selection pane="topRight" activeCell="J41" sqref="J41"/>
      <selection pane="bottomLeft" activeCell="J41" sqref="J41"/>
      <selection pane="bottomRight" activeCell="A129" sqref="A129:P140"/>
    </sheetView>
  </sheetViews>
  <sheetFormatPr defaultColWidth="10" defaultRowHeight="11.25"/>
  <cols>
    <col min="1" max="1" width="12.85546875" style="2" customWidth="1"/>
    <col min="2" max="2" width="17.7109375" style="2" bestFit="1" customWidth="1"/>
    <col min="3" max="3" width="4.42578125" style="10" bestFit="1" customWidth="1"/>
    <col min="4" max="4" width="10.7109375" style="29" customWidth="1"/>
    <col min="5" max="5" width="12.85546875" style="2" bestFit="1" customWidth="1"/>
    <col min="6" max="6" width="11.28515625" style="2" bestFit="1" customWidth="1"/>
    <col min="7" max="7" width="12.5703125" style="2" bestFit="1" customWidth="1"/>
    <col min="8" max="8" width="11.28515625" style="2" bestFit="1" customWidth="1"/>
    <col min="9" max="10" width="13.140625" style="2" bestFit="1" customWidth="1"/>
    <col min="11" max="11" width="11.28515625" style="2" bestFit="1" customWidth="1"/>
    <col min="12" max="12" width="13.140625" style="2" hidden="1" customWidth="1"/>
    <col min="13" max="13" width="13" style="2" hidden="1" customWidth="1"/>
    <col min="14" max="14" width="14" style="2" bestFit="1" customWidth="1"/>
    <col min="15" max="15" width="11.5703125" style="2" bestFit="1" customWidth="1"/>
    <col min="16" max="16" width="14" style="2" customWidth="1"/>
    <col min="17" max="17" width="7.28515625" style="27" hidden="1" customWidth="1"/>
    <col min="18" max="18" width="8.28515625" style="53" customWidth="1"/>
    <col min="19" max="16384" width="10" style="2"/>
  </cols>
  <sheetData>
    <row r="1" spans="1:18">
      <c r="A1" s="30" t="s">
        <v>278</v>
      </c>
      <c r="D1" s="29" t="s">
        <v>22</v>
      </c>
    </row>
    <row r="3" spans="1:18" ht="33" customHeight="1">
      <c r="A3" s="128" t="s">
        <v>0</v>
      </c>
      <c r="B3" s="128" t="s">
        <v>1</v>
      </c>
      <c r="C3" s="129" t="s">
        <v>2</v>
      </c>
      <c r="D3" s="130" t="s">
        <v>3</v>
      </c>
      <c r="E3" s="131" t="s">
        <v>207</v>
      </c>
      <c r="F3" s="131" t="s">
        <v>192</v>
      </c>
      <c r="G3" s="131" t="s">
        <v>193</v>
      </c>
      <c r="H3" s="131" t="s">
        <v>209</v>
      </c>
      <c r="I3" s="131" t="s">
        <v>199</v>
      </c>
      <c r="J3" s="131" t="s">
        <v>200</v>
      </c>
      <c r="K3" s="131" t="s">
        <v>196</v>
      </c>
      <c r="L3" s="131" t="str">
        <f>+MM!L3</f>
        <v>REDEMPTION</v>
      </c>
      <c r="M3" s="128" t="str">
        <f>+MM!M3</f>
        <v>INTEREST</v>
      </c>
      <c r="N3" s="128" t="s">
        <v>13</v>
      </c>
      <c r="O3" s="131" t="s">
        <v>208</v>
      </c>
      <c r="P3" s="131" t="s">
        <v>197</v>
      </c>
      <c r="Q3" s="132" t="s">
        <v>89</v>
      </c>
      <c r="R3" s="133" t="s">
        <v>12</v>
      </c>
    </row>
    <row r="4" spans="1:18" ht="12" thickBot="1"/>
    <row r="5" spans="1:18" ht="12" thickBot="1">
      <c r="A5" s="97" t="s">
        <v>11</v>
      </c>
      <c r="B5" s="98" t="s">
        <v>686</v>
      </c>
      <c r="D5" s="381" t="s">
        <v>279</v>
      </c>
      <c r="E5" s="382"/>
      <c r="F5" s="383"/>
    </row>
    <row r="6" spans="1:18">
      <c r="R6" s="36"/>
    </row>
    <row r="7" spans="1:18" s="18" customFormat="1">
      <c r="A7" s="87"/>
      <c r="B7" s="87" t="s">
        <v>620</v>
      </c>
      <c r="C7" s="78">
        <v>142</v>
      </c>
      <c r="D7" s="70">
        <v>10000</v>
      </c>
      <c r="E7" s="88">
        <f>+D7/Q7*(CALC!$A$4)</f>
        <v>7496.2518740629685</v>
      </c>
      <c r="F7" s="61"/>
      <c r="G7" s="61">
        <v>5481.62</v>
      </c>
      <c r="H7" s="61">
        <v>100</v>
      </c>
      <c r="I7" s="61">
        <f>27293.89*0.75</f>
        <v>20470.4175</v>
      </c>
      <c r="J7" s="61">
        <f>Sheet1!H31</f>
        <v>44218.44</v>
      </c>
      <c r="K7" s="61">
        <f>+'1-10'!R55</f>
        <v>329</v>
      </c>
      <c r="L7" s="61"/>
      <c r="M7" s="61">
        <f>+'new veh 2012'!E59</f>
        <v>17881.14</v>
      </c>
      <c r="N7" s="61">
        <f>SUM(E7:M7)</f>
        <v>95976.869374062968</v>
      </c>
      <c r="O7" s="56">
        <f>N7/CALC!$A$8*CALC!$A$6</f>
        <v>3509.9878954854917</v>
      </c>
      <c r="P7" s="61">
        <f>+N7+O7</f>
        <v>99486.857269548462</v>
      </c>
      <c r="Q7" s="72">
        <v>6.67</v>
      </c>
      <c r="R7" s="73"/>
    </row>
    <row r="8" spans="1:18" s="18" customFormat="1" hidden="1">
      <c r="A8" s="87"/>
      <c r="B8" s="87"/>
      <c r="C8" s="78"/>
      <c r="D8" s="70">
        <v>0</v>
      </c>
      <c r="E8" s="88">
        <f>+D8/Q8*(CALC!$A$4)</f>
        <v>0</v>
      </c>
      <c r="F8" s="61"/>
      <c r="G8" s="61">
        <v>0</v>
      </c>
      <c r="H8" s="61"/>
      <c r="I8" s="61">
        <f t="shared" ref="I8:I11" si="0">27293.89*0.75</f>
        <v>20470.4175</v>
      </c>
      <c r="J8" s="61"/>
      <c r="K8" s="61"/>
      <c r="L8" s="61"/>
      <c r="M8" s="61"/>
      <c r="N8" s="61">
        <f>SUM(E8:M8)</f>
        <v>20470.4175</v>
      </c>
      <c r="O8" s="56">
        <f>N8/CALC!$A$8*CALC!$A$6</f>
        <v>748.62743605962578</v>
      </c>
      <c r="P8" s="61">
        <f>+N8+O8</f>
        <v>21219.044936059625</v>
      </c>
      <c r="Q8" s="72">
        <v>5</v>
      </c>
      <c r="R8" s="73"/>
    </row>
    <row r="9" spans="1:18" s="18" customFormat="1">
      <c r="A9" s="87"/>
      <c r="B9" s="87" t="s">
        <v>621</v>
      </c>
      <c r="C9" s="78">
        <v>162</v>
      </c>
      <c r="D9" s="70">
        <v>15000</v>
      </c>
      <c r="E9" s="88">
        <f>+D9/Q9*(CALC!$A$4)</f>
        <v>11244.377811094453</v>
      </c>
      <c r="F9" s="61"/>
      <c r="G9" s="61">
        <v>5481.62</v>
      </c>
      <c r="H9" s="61">
        <v>100</v>
      </c>
      <c r="I9" s="61">
        <f t="shared" si="0"/>
        <v>20470.4175</v>
      </c>
      <c r="J9" s="61">
        <f>Sheet1!H33</f>
        <v>41245.08</v>
      </c>
      <c r="K9" s="61">
        <f>+'1-10'!R66</f>
        <v>329</v>
      </c>
      <c r="L9" s="61"/>
      <c r="M9" s="61">
        <f>+'new veh 2012'!E70</f>
        <v>17881.14</v>
      </c>
      <c r="N9" s="61">
        <f t="shared" ref="N9:N10" si="1">SUM(E9:M9)</f>
        <v>96751.635311094447</v>
      </c>
      <c r="O9" s="56">
        <f>N9/CALC!$A$8*CALC!$A$6</f>
        <v>3538.3220043030678</v>
      </c>
      <c r="P9" s="61">
        <f t="shared" ref="P9:P10" si="2">+N9+O9</f>
        <v>100289.95731539752</v>
      </c>
      <c r="Q9" s="72">
        <v>6.67</v>
      </c>
      <c r="R9" s="73"/>
    </row>
    <row r="10" spans="1:18" s="18" customFormat="1">
      <c r="A10" s="87"/>
      <c r="B10" s="87" t="s">
        <v>659</v>
      </c>
      <c r="C10" s="78">
        <v>143</v>
      </c>
      <c r="D10" s="70">
        <f>+'1-10'!L56</f>
        <v>10000</v>
      </c>
      <c r="E10" s="88">
        <f>+D10/Q10*(CALC!$A$4)</f>
        <v>7496.2518740629685</v>
      </c>
      <c r="F10" s="61"/>
      <c r="G10" s="61">
        <v>5481.62</v>
      </c>
      <c r="H10" s="61">
        <v>100</v>
      </c>
      <c r="I10" s="61">
        <f t="shared" si="0"/>
        <v>20470.4175</v>
      </c>
      <c r="J10" s="61">
        <v>41245.08</v>
      </c>
      <c r="K10" s="61">
        <f>+'1-10'!R67</f>
        <v>329</v>
      </c>
      <c r="L10" s="61"/>
      <c r="M10" s="61">
        <f>+'new veh 2012'!E71</f>
        <v>17881.14</v>
      </c>
      <c r="N10" s="61">
        <f t="shared" si="1"/>
        <v>93003.509374062967</v>
      </c>
      <c r="O10" s="56">
        <f>N10/CALC!$A$8*CALC!$A$6</f>
        <v>3401.248595308431</v>
      </c>
      <c r="P10" s="61">
        <f t="shared" si="2"/>
        <v>96404.757969371392</v>
      </c>
      <c r="Q10" s="72">
        <v>6.67</v>
      </c>
      <c r="R10" s="73"/>
    </row>
    <row r="11" spans="1:18" s="18" customFormat="1">
      <c r="A11" s="87"/>
      <c r="B11" s="87" t="s">
        <v>660</v>
      </c>
      <c r="C11" s="78">
        <v>160</v>
      </c>
      <c r="D11" s="70">
        <f>+'1-10'!L66</f>
        <v>30000</v>
      </c>
      <c r="E11" s="88">
        <f>+D11/Q11*(CALC!$A$4)</f>
        <v>22488.755622188906</v>
      </c>
      <c r="F11" s="61"/>
      <c r="G11" s="61">
        <v>5481.62</v>
      </c>
      <c r="H11" s="61">
        <v>100</v>
      </c>
      <c r="I11" s="61">
        <f t="shared" si="0"/>
        <v>20470.4175</v>
      </c>
      <c r="J11" s="61">
        <v>41245.08</v>
      </c>
      <c r="K11" s="61">
        <f>+'1-10'!R68</f>
        <v>329</v>
      </c>
      <c r="L11" s="61"/>
      <c r="M11" s="61">
        <f>+'new veh 2012'!E72</f>
        <v>17881.14</v>
      </c>
      <c r="N11" s="61">
        <f>SUM(E11:M11)</f>
        <v>107996.0131221889</v>
      </c>
      <c r="O11" s="56">
        <f>N11/CALC!$A$8*CALC!$A$6</f>
        <v>3949.5422312869764</v>
      </c>
      <c r="P11" s="61">
        <f>+N11+O11</f>
        <v>111945.55535347588</v>
      </c>
      <c r="Q11" s="72">
        <v>6.67</v>
      </c>
      <c r="R11" s="73"/>
    </row>
    <row r="12" spans="1:18" s="30" customFormat="1">
      <c r="A12" s="59"/>
      <c r="B12" s="4" t="s">
        <v>15</v>
      </c>
      <c r="C12" s="42"/>
      <c r="D12" s="28">
        <f t="shared" ref="D12:N12" si="3">SUM(D7:D11)</f>
        <v>65000</v>
      </c>
      <c r="E12" s="26">
        <f t="shared" si="3"/>
        <v>48725.6371814093</v>
      </c>
      <c r="F12" s="26">
        <f t="shared" si="3"/>
        <v>0</v>
      </c>
      <c r="G12" s="26">
        <f t="shared" si="3"/>
        <v>21926.48</v>
      </c>
      <c r="H12" s="26">
        <f t="shared" si="3"/>
        <v>400</v>
      </c>
      <c r="I12" s="26">
        <f t="shared" si="3"/>
        <v>102352.08749999999</v>
      </c>
      <c r="J12" s="26">
        <f>SUM(J9:J11)</f>
        <v>123735.24</v>
      </c>
      <c r="K12" s="26">
        <f t="shared" si="3"/>
        <v>1316</v>
      </c>
      <c r="L12" s="26">
        <f t="shared" si="3"/>
        <v>0</v>
      </c>
      <c r="M12" s="26">
        <f t="shared" si="3"/>
        <v>71524.56</v>
      </c>
      <c r="N12" s="26">
        <f t="shared" si="3"/>
        <v>414198.44468140934</v>
      </c>
      <c r="O12" s="26">
        <f>N12/CALC!$A$8*CALC!$A$6</f>
        <v>15147.728162443595</v>
      </c>
      <c r="P12" s="26">
        <f>+N12+O12</f>
        <v>429346.17284385295</v>
      </c>
      <c r="Q12" s="57"/>
      <c r="R12" s="197">
        <f>(+P12/D12)*(1+CALC!$A$2)</f>
        <v>6.8034855081410548</v>
      </c>
    </row>
    <row r="13" spans="1:18" ht="12" thickBot="1">
      <c r="R13" s="36"/>
    </row>
    <row r="14" spans="1:18" ht="12" thickBot="1">
      <c r="A14" s="97" t="s">
        <v>11</v>
      </c>
      <c r="B14" s="98" t="s">
        <v>687</v>
      </c>
      <c r="D14" s="381" t="s">
        <v>322</v>
      </c>
      <c r="E14" s="382"/>
      <c r="F14" s="383"/>
      <c r="R14" s="36"/>
    </row>
    <row r="15" spans="1:18">
      <c r="R15" s="36"/>
    </row>
    <row r="16" spans="1:18" s="18" customFormat="1">
      <c r="A16" s="87"/>
      <c r="B16" s="87" t="s">
        <v>622</v>
      </c>
      <c r="C16" s="78">
        <v>272</v>
      </c>
      <c r="D16" s="70">
        <v>40000</v>
      </c>
      <c r="E16" s="88">
        <f>+D16/Q16*(CALC!$A$4)</f>
        <v>22002.200220022001</v>
      </c>
      <c r="F16" s="61"/>
      <c r="G16" s="61">
        <v>5481.62</v>
      </c>
      <c r="H16" s="61">
        <v>100</v>
      </c>
      <c r="I16" s="61">
        <f>0.75*40502.58</f>
        <v>30376.935000000001</v>
      </c>
      <c r="J16" s="61">
        <f>Sheet1!H27</f>
        <v>59452.680000000008</v>
      </c>
      <c r="K16" s="61">
        <f>+'1-10'!R6</f>
        <v>383</v>
      </c>
      <c r="L16" s="61"/>
      <c r="M16" s="61">
        <v>14449.81</v>
      </c>
      <c r="N16" s="61">
        <f>SUM(E16:M16)</f>
        <v>132246.24522002201</v>
      </c>
      <c r="O16" s="61">
        <f>N16/CALC!$A$8*CALC!$A$6</f>
        <v>4836.4019682342887</v>
      </c>
      <c r="P16" s="61">
        <f>+N16+O16</f>
        <v>137082.64718825629</v>
      </c>
      <c r="Q16" s="72">
        <v>9.09</v>
      </c>
      <c r="R16" s="73"/>
    </row>
    <row r="17" spans="1:18" s="30" customFormat="1">
      <c r="A17" s="59"/>
      <c r="B17" s="4" t="s">
        <v>15</v>
      </c>
      <c r="C17" s="42"/>
      <c r="D17" s="28">
        <f t="shared" ref="D17:N17" si="4">SUM(D16:D16)</f>
        <v>40000</v>
      </c>
      <c r="E17" s="26">
        <f t="shared" si="4"/>
        <v>22002.200220022001</v>
      </c>
      <c r="F17" s="26">
        <f t="shared" si="4"/>
        <v>0</v>
      </c>
      <c r="G17" s="26">
        <f t="shared" si="4"/>
        <v>5481.62</v>
      </c>
      <c r="H17" s="26">
        <f t="shared" si="4"/>
        <v>100</v>
      </c>
      <c r="I17" s="26">
        <f t="shared" si="4"/>
        <v>30376.935000000001</v>
      </c>
      <c r="J17" s="26">
        <f>SUM(J16)</f>
        <v>59452.680000000008</v>
      </c>
      <c r="K17" s="26">
        <f t="shared" si="4"/>
        <v>383</v>
      </c>
      <c r="L17" s="26">
        <f t="shared" si="4"/>
        <v>0</v>
      </c>
      <c r="M17" s="26">
        <f t="shared" si="4"/>
        <v>14449.81</v>
      </c>
      <c r="N17" s="26">
        <f t="shared" si="4"/>
        <v>132246.24522002201</v>
      </c>
      <c r="O17" s="26">
        <f>N17/CALC!$A$8*CALC!$A$6</f>
        <v>4836.4019682342887</v>
      </c>
      <c r="P17" s="26">
        <f>+N17+O17</f>
        <v>137082.64718825629</v>
      </c>
      <c r="Q17" s="57"/>
      <c r="R17" s="197">
        <f>(+P17/D17)*(1+CALC!$A$2)</f>
        <v>3.5298781650975997</v>
      </c>
    </row>
    <row r="18" spans="1:18" ht="12" thickBot="1">
      <c r="R18" s="36"/>
    </row>
    <row r="19" spans="1:18" ht="12" thickBot="1">
      <c r="A19" s="97" t="s">
        <v>11</v>
      </c>
      <c r="B19" s="98" t="s">
        <v>688</v>
      </c>
      <c r="D19" s="381" t="s">
        <v>662</v>
      </c>
      <c r="E19" s="382"/>
      <c r="F19" s="383"/>
      <c r="R19" s="36"/>
    </row>
    <row r="20" spans="1:18">
      <c r="R20" s="36"/>
    </row>
    <row r="21" spans="1:18" s="18" customFormat="1">
      <c r="A21" s="87"/>
      <c r="B21" s="87" t="s">
        <v>661</v>
      </c>
      <c r="C21" s="78">
        <v>149</v>
      </c>
      <c r="D21" s="70">
        <f>+'1-10'!L84</f>
        <v>10000</v>
      </c>
      <c r="E21" s="88">
        <f>+D21/Q21*(CALC!$A$4)</f>
        <v>7142.8571428571431</v>
      </c>
      <c r="F21" s="61"/>
      <c r="G21" s="61">
        <f>+'1-10'!Q84</f>
        <v>6057.27</v>
      </c>
      <c r="H21" s="61">
        <v>100</v>
      </c>
      <c r="I21" s="61">
        <f>+'1-10'!P84*0.75</f>
        <v>31206.151799999996</v>
      </c>
      <c r="J21" s="61">
        <f>Sheet1!H15</f>
        <v>82710.12</v>
      </c>
      <c r="K21" s="61">
        <f>+'1-10'!R84</f>
        <v>636</v>
      </c>
      <c r="L21" s="61"/>
      <c r="M21" s="61">
        <f>+'1-10'!O84</f>
        <v>36478.78</v>
      </c>
      <c r="N21" s="61">
        <f>SUM(E21:M21)</f>
        <v>164331.17894285714</v>
      </c>
      <c r="O21" s="61">
        <f>N21/CALC!$A$8*CALC!$A$6</f>
        <v>6009.7860318015837</v>
      </c>
      <c r="P21" s="61">
        <f>+N21+O21</f>
        <v>170340.96497465871</v>
      </c>
      <c r="Q21" s="72">
        <v>7</v>
      </c>
      <c r="R21" s="73"/>
    </row>
    <row r="22" spans="1:18" s="30" customFormat="1">
      <c r="A22" s="59"/>
      <c r="B22" s="4" t="s">
        <v>15</v>
      </c>
      <c r="C22" s="42"/>
      <c r="D22" s="28">
        <f t="shared" ref="D22:N22" si="5">SUM(D21:D21)</f>
        <v>10000</v>
      </c>
      <c r="E22" s="26">
        <f t="shared" si="5"/>
        <v>7142.8571428571431</v>
      </c>
      <c r="F22" s="26">
        <f t="shared" si="5"/>
        <v>0</v>
      </c>
      <c r="G22" s="26">
        <f t="shared" si="5"/>
        <v>6057.27</v>
      </c>
      <c r="H22" s="26">
        <f t="shared" si="5"/>
        <v>100</v>
      </c>
      <c r="I22" s="26">
        <f t="shared" si="5"/>
        <v>31206.151799999996</v>
      </c>
      <c r="J22" s="26">
        <f>SUM(J21)</f>
        <v>82710.12</v>
      </c>
      <c r="K22" s="26">
        <f t="shared" si="5"/>
        <v>636</v>
      </c>
      <c r="L22" s="26">
        <f t="shared" si="5"/>
        <v>0</v>
      </c>
      <c r="M22" s="26">
        <f t="shared" si="5"/>
        <v>36478.78</v>
      </c>
      <c r="N22" s="26">
        <f t="shared" si="5"/>
        <v>164331.17894285714</v>
      </c>
      <c r="O22" s="26">
        <f>N22/CALC!$A$8*CALC!$A$6</f>
        <v>6009.7860318015837</v>
      </c>
      <c r="P22" s="26">
        <f>+N22+O22</f>
        <v>170340.96497465871</v>
      </c>
      <c r="Q22" s="57"/>
      <c r="R22" s="197">
        <f>(+P22/D22)*(1+CALC!$A$2)</f>
        <v>17.545119392389847</v>
      </c>
    </row>
    <row r="23" spans="1:18" ht="12" thickBot="1">
      <c r="R23" s="36"/>
    </row>
    <row r="24" spans="1:18" ht="12" thickBot="1">
      <c r="A24" s="97" t="s">
        <v>11</v>
      </c>
      <c r="B24" s="98" t="s">
        <v>689</v>
      </c>
      <c r="D24" s="381" t="s">
        <v>309</v>
      </c>
      <c r="E24" s="382"/>
      <c r="F24" s="383"/>
      <c r="R24" s="36"/>
    </row>
    <row r="25" spans="1:18">
      <c r="R25" s="36"/>
    </row>
    <row r="26" spans="1:18" s="18" customFormat="1">
      <c r="A26" s="189"/>
      <c r="B26" s="87" t="s">
        <v>623</v>
      </c>
      <c r="C26" s="78">
        <v>294</v>
      </c>
      <c r="D26" s="70">
        <v>10000</v>
      </c>
      <c r="E26" s="88">
        <f>+D26/Q26*(CALC!$A$4)</f>
        <v>25000</v>
      </c>
      <c r="F26" s="61"/>
      <c r="G26" s="61">
        <v>6057.27</v>
      </c>
      <c r="H26" s="61">
        <v>100</v>
      </c>
      <c r="I26" s="61">
        <f>0.75*53491.67</f>
        <v>40118.752500000002</v>
      </c>
      <c r="J26" s="61">
        <f>Sheet1!H17</f>
        <v>122545.32</v>
      </c>
      <c r="K26" s="61">
        <f>+'1-10'!R28</f>
        <v>1838</v>
      </c>
      <c r="L26" s="61"/>
      <c r="M26" s="61">
        <v>39221.85</v>
      </c>
      <c r="N26" s="61">
        <f>SUM(E26:M26)</f>
        <v>234881.19250000003</v>
      </c>
      <c r="O26" s="61">
        <f>N26/CALC!$A$8*CALC!$A$6</f>
        <v>8589.883666022075</v>
      </c>
      <c r="P26" s="61">
        <f>+N26+O26</f>
        <v>243471.0761660221</v>
      </c>
      <c r="Q26" s="72">
        <v>2</v>
      </c>
      <c r="R26" s="73"/>
    </row>
    <row r="27" spans="1:18" s="18" customFormat="1">
      <c r="A27" s="301"/>
      <c r="B27" s="87" t="s">
        <v>658</v>
      </c>
      <c r="C27" s="78">
        <v>128</v>
      </c>
      <c r="D27" s="70">
        <f>+'1-10'!L51</f>
        <v>8000</v>
      </c>
      <c r="E27" s="88">
        <f>+D27/Q27*(CALC!$A$4)</f>
        <v>20000</v>
      </c>
      <c r="F27" s="61"/>
      <c r="G27" s="61">
        <v>6057.27</v>
      </c>
      <c r="H27" s="61">
        <v>100</v>
      </c>
      <c r="I27" s="61">
        <f>0.75*53491.67</f>
        <v>40118.752500000002</v>
      </c>
      <c r="J27" s="61">
        <f>Sheet1!H16</f>
        <v>98657.040000000008</v>
      </c>
      <c r="K27" s="61">
        <f>+'1-10'!R29</f>
        <v>1838</v>
      </c>
      <c r="L27" s="61"/>
      <c r="M27" s="61">
        <f>+'1-10'!O51</f>
        <v>39221.85</v>
      </c>
      <c r="N27" s="61">
        <f>SUM(E27:M27)</f>
        <v>205992.91250000001</v>
      </c>
      <c r="O27" s="61">
        <f>N27/CALC!$A$8*CALC!$A$6</f>
        <v>7533.4050187950415</v>
      </c>
      <c r="P27" s="61">
        <f>+N27+O27</f>
        <v>213526.31751879505</v>
      </c>
      <c r="Q27" s="72">
        <v>2</v>
      </c>
      <c r="R27" s="73"/>
    </row>
    <row r="28" spans="1:18" s="30" customFormat="1">
      <c r="A28" s="59"/>
      <c r="B28" s="4" t="s">
        <v>15</v>
      </c>
      <c r="C28" s="42"/>
      <c r="D28" s="28">
        <f>+D26+D27</f>
        <v>18000</v>
      </c>
      <c r="E28" s="26">
        <f>+E26+E27</f>
        <v>45000</v>
      </c>
      <c r="F28" s="26">
        <f t="shared" ref="F28:P28" si="6">+F26+F27</f>
        <v>0</v>
      </c>
      <c r="G28" s="26">
        <f t="shared" si="6"/>
        <v>12114.54</v>
      </c>
      <c r="H28" s="26">
        <f t="shared" si="6"/>
        <v>200</v>
      </c>
      <c r="I28" s="26">
        <f t="shared" si="6"/>
        <v>80237.505000000005</v>
      </c>
      <c r="J28" s="26">
        <f>SUM(J26:J27)</f>
        <v>221202.36000000002</v>
      </c>
      <c r="K28" s="26">
        <f t="shared" si="6"/>
        <v>3676</v>
      </c>
      <c r="L28" s="26">
        <f t="shared" si="6"/>
        <v>0</v>
      </c>
      <c r="M28" s="26">
        <f t="shared" si="6"/>
        <v>78443.7</v>
      </c>
      <c r="N28" s="26">
        <f t="shared" si="6"/>
        <v>440874.10500000004</v>
      </c>
      <c r="O28" s="26">
        <f t="shared" si="6"/>
        <v>16123.288684817117</v>
      </c>
      <c r="P28" s="26">
        <f t="shared" si="6"/>
        <v>456997.39368481713</v>
      </c>
      <c r="Q28" s="57"/>
      <c r="R28" s="197">
        <f>(+P28/D28)*(1+CALC!$A$2)</f>
        <v>26.15040641640898</v>
      </c>
    </row>
    <row r="29" spans="1:18" ht="12" thickBot="1">
      <c r="R29" s="36"/>
    </row>
    <row r="30" spans="1:18" ht="12" thickBot="1">
      <c r="A30" s="97" t="s">
        <v>11</v>
      </c>
      <c r="B30" s="98" t="s">
        <v>690</v>
      </c>
      <c r="D30" s="381" t="s">
        <v>627</v>
      </c>
      <c r="E30" s="382"/>
      <c r="F30" s="383"/>
      <c r="R30" s="36"/>
    </row>
    <row r="31" spans="1:18">
      <c r="R31" s="36"/>
    </row>
    <row r="32" spans="1:18" s="18" customFormat="1">
      <c r="A32" s="87"/>
      <c r="B32" s="87" t="s">
        <v>624</v>
      </c>
      <c r="C32" s="206">
        <v>110</v>
      </c>
      <c r="D32" s="70">
        <v>10000</v>
      </c>
      <c r="E32" s="88">
        <f>+D32/Q32*(CALC!$A$4)</f>
        <v>33333.333333333336</v>
      </c>
      <c r="F32" s="61"/>
      <c r="G32" s="61">
        <v>6057.27</v>
      </c>
      <c r="H32" s="61">
        <v>100</v>
      </c>
      <c r="I32" s="61">
        <f>0.75*95772.24</f>
        <v>71829.180000000008</v>
      </c>
      <c r="J32" s="61">
        <f>Sheet1!H14</f>
        <v>176042.76</v>
      </c>
      <c r="K32" s="61">
        <f>+'1-10'!R81</f>
        <v>5284</v>
      </c>
      <c r="L32" s="61"/>
      <c r="M32" s="61"/>
      <c r="N32" s="61">
        <f>SUM(E32:M32)</f>
        <v>292646.54333333333</v>
      </c>
      <c r="O32" s="56">
        <f>N32/CALC!$A$8*CALC!$A$6</f>
        <v>10702.43102796245</v>
      </c>
      <c r="P32" s="61">
        <f>+N32+O32</f>
        <v>303348.97436129581</v>
      </c>
      <c r="Q32" s="72">
        <v>1.5</v>
      </c>
      <c r="R32" s="73"/>
    </row>
    <row r="33" spans="1:21" s="30" customFormat="1">
      <c r="A33" s="59"/>
      <c r="B33" s="4" t="s">
        <v>15</v>
      </c>
      <c r="C33" s="42"/>
      <c r="D33" s="28">
        <f t="shared" ref="D33:K33" si="7">SUM(D32:D32)</f>
        <v>10000</v>
      </c>
      <c r="E33" s="26">
        <f t="shared" si="7"/>
        <v>33333.333333333336</v>
      </c>
      <c r="F33" s="26">
        <f t="shared" si="7"/>
        <v>0</v>
      </c>
      <c r="G33" s="26">
        <f t="shared" si="7"/>
        <v>6057.27</v>
      </c>
      <c r="H33" s="26">
        <f t="shared" si="7"/>
        <v>100</v>
      </c>
      <c r="I33" s="26">
        <f t="shared" si="7"/>
        <v>71829.180000000008</v>
      </c>
      <c r="J33" s="26">
        <f>SUM(J32)</f>
        <v>176042.76</v>
      </c>
      <c r="K33" s="26">
        <f t="shared" si="7"/>
        <v>5284</v>
      </c>
      <c r="L33" s="26" t="e">
        <f>SUM(#REF!)</f>
        <v>#REF!</v>
      </c>
      <c r="M33" s="26">
        <f>SUM(M32:M32)</f>
        <v>0</v>
      </c>
      <c r="N33" s="26">
        <f>SUM(N32:N32)</f>
        <v>292646.54333333333</v>
      </c>
      <c r="O33" s="26">
        <f>N33/CALC!$A$8*CALC!$A$6</f>
        <v>10702.43102796245</v>
      </c>
      <c r="P33" s="26">
        <f>+N33+O33</f>
        <v>303348.97436129581</v>
      </c>
      <c r="Q33" s="57"/>
      <c r="R33" s="197">
        <f>(+P33/D33)*(1+CALC!$A$2)</f>
        <v>31.24494435921347</v>
      </c>
    </row>
    <row r="34" spans="1:21" ht="12" thickBot="1">
      <c r="R34" s="36"/>
    </row>
    <row r="35" spans="1:21" ht="12" thickBot="1">
      <c r="A35" s="97" t="s">
        <v>11</v>
      </c>
      <c r="B35" s="98" t="s">
        <v>691</v>
      </c>
      <c r="D35" s="381" t="s">
        <v>657</v>
      </c>
      <c r="E35" s="382"/>
      <c r="F35" s="383"/>
      <c r="R35" s="36"/>
    </row>
    <row r="36" spans="1:21">
      <c r="R36" s="36"/>
    </row>
    <row r="37" spans="1:21" s="18" customFormat="1">
      <c r="A37" s="87"/>
      <c r="B37" s="87" t="s">
        <v>625</v>
      </c>
      <c r="C37" s="78">
        <v>131</v>
      </c>
      <c r="D37" s="70">
        <v>15000</v>
      </c>
      <c r="E37" s="88">
        <f>+D37/Q37*(CALC!$A$4)</f>
        <v>50000</v>
      </c>
      <c r="F37" s="61"/>
      <c r="G37" s="61">
        <v>6057.27</v>
      </c>
      <c r="H37" s="61">
        <v>100</v>
      </c>
      <c r="I37" s="61">
        <f>+'1-10'!P53*0.75</f>
        <v>73817.504549999998</v>
      </c>
      <c r="J37" s="61">
        <f>Sheet1!H13</f>
        <v>160347.59999999998</v>
      </c>
      <c r="K37" s="61">
        <f>+'1-10'!R53</f>
        <v>5284</v>
      </c>
      <c r="L37" s="61"/>
      <c r="M37" s="61">
        <f>+'1-10'!O53</f>
        <v>50190.45</v>
      </c>
      <c r="N37" s="61">
        <f>SUM(E37:M37)</f>
        <v>345796.82454999996</v>
      </c>
      <c r="O37" s="56">
        <f>N37/CALC!$A$8*CALC!$A$6</f>
        <v>12646.199822765057</v>
      </c>
      <c r="P37" s="61">
        <f>+N37+O37</f>
        <v>358443.02437276504</v>
      </c>
      <c r="Q37" s="72">
        <v>1.5</v>
      </c>
      <c r="R37" s="73"/>
    </row>
    <row r="38" spans="1:21" s="30" customFormat="1">
      <c r="A38" s="59"/>
      <c r="B38" s="4" t="s">
        <v>15</v>
      </c>
      <c r="C38" s="42"/>
      <c r="D38" s="28">
        <f t="shared" ref="D38:K38" si="8">SUM(D37:D37)</f>
        <v>15000</v>
      </c>
      <c r="E38" s="26">
        <f t="shared" si="8"/>
        <v>50000</v>
      </c>
      <c r="F38" s="26">
        <f t="shared" si="8"/>
        <v>0</v>
      </c>
      <c r="G38" s="26">
        <f t="shared" si="8"/>
        <v>6057.27</v>
      </c>
      <c r="H38" s="26">
        <f t="shared" si="8"/>
        <v>100</v>
      </c>
      <c r="I38" s="26">
        <f t="shared" si="8"/>
        <v>73817.504549999998</v>
      </c>
      <c r="J38" s="26">
        <f>SUM(J37)</f>
        <v>160347.59999999998</v>
      </c>
      <c r="K38" s="26">
        <f t="shared" si="8"/>
        <v>5284</v>
      </c>
      <c r="L38" s="26"/>
      <c r="M38" s="26">
        <f>SUM(M37:M37)</f>
        <v>50190.45</v>
      </c>
      <c r="N38" s="26">
        <f>SUM(N37:N37)</f>
        <v>345796.82454999996</v>
      </c>
      <c r="O38" s="26">
        <f>N38/CALC!$A$8*CALC!$A$6</f>
        <v>12646.199822765057</v>
      </c>
      <c r="P38" s="26">
        <f>+N38+O38</f>
        <v>358443.02437276504</v>
      </c>
      <c r="Q38" s="57"/>
      <c r="R38" s="197">
        <f>(+P38/D38)*(1+CALC!$A$2)</f>
        <v>24.613087673596532</v>
      </c>
    </row>
    <row r="39" spans="1:21" s="30" customFormat="1" ht="12" thickBot="1">
      <c r="A39" s="59"/>
      <c r="B39" s="59"/>
      <c r="C39" s="63"/>
      <c r="D39" s="64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0"/>
    </row>
    <row r="40" spans="1:21" ht="12" thickBot="1">
      <c r="A40" s="97" t="s">
        <v>11</v>
      </c>
      <c r="B40" s="98" t="s">
        <v>692</v>
      </c>
      <c r="D40" s="381" t="s">
        <v>326</v>
      </c>
      <c r="E40" s="382"/>
      <c r="F40" s="383"/>
      <c r="R40" s="36"/>
    </row>
    <row r="41" spans="1:21">
      <c r="R41" s="36"/>
    </row>
    <row r="42" spans="1:21" s="18" customFormat="1">
      <c r="A42" s="87"/>
      <c r="B42" s="87" t="s">
        <v>626</v>
      </c>
      <c r="C42" s="78">
        <v>168</v>
      </c>
      <c r="D42" s="70">
        <v>20000</v>
      </c>
      <c r="E42" s="88">
        <f>+D42/Q42*(CALC!$A$4)</f>
        <v>66666.666666666672</v>
      </c>
      <c r="F42" s="61"/>
      <c r="G42" s="61">
        <f>+'1-10'!Q69</f>
        <v>6057.27</v>
      </c>
      <c r="H42" s="61">
        <v>100</v>
      </c>
      <c r="I42" s="61">
        <f>+'1-10'!P69*0.75</f>
        <v>60247.939050000008</v>
      </c>
      <c r="J42" s="61">
        <v>160347.6</v>
      </c>
      <c r="K42" s="61">
        <f>+'1-10'!R69</f>
        <v>3202</v>
      </c>
      <c r="L42" s="61"/>
      <c r="M42" s="61">
        <f>+'1-10'!O69</f>
        <v>56432.19</v>
      </c>
      <c r="N42" s="61">
        <f>SUM(E42:M42)</f>
        <v>353053.66571666667</v>
      </c>
      <c r="O42" s="56">
        <f>N42/CALC!$A$8*CALC!$A$6</f>
        <v>12911.591107358723</v>
      </c>
      <c r="P42" s="61">
        <f>+N42+O42</f>
        <v>365965.25682402542</v>
      </c>
      <c r="Q42" s="72">
        <v>1.5</v>
      </c>
      <c r="R42" s="73"/>
    </row>
    <row r="43" spans="1:21" s="30" customFormat="1">
      <c r="A43" s="59"/>
      <c r="B43" s="4" t="s">
        <v>15</v>
      </c>
      <c r="C43" s="42"/>
      <c r="D43" s="28">
        <f t="shared" ref="D43:K43" si="9">SUM(D42:D42)</f>
        <v>20000</v>
      </c>
      <c r="E43" s="26">
        <f t="shared" si="9"/>
        <v>66666.666666666672</v>
      </c>
      <c r="F43" s="26">
        <f t="shared" si="9"/>
        <v>0</v>
      </c>
      <c r="G43" s="26">
        <f t="shared" si="9"/>
        <v>6057.27</v>
      </c>
      <c r="H43" s="26">
        <f t="shared" si="9"/>
        <v>100</v>
      </c>
      <c r="I43" s="26">
        <f t="shared" si="9"/>
        <v>60247.939050000008</v>
      </c>
      <c r="J43" s="26">
        <f>SUM(J42)</f>
        <v>160347.6</v>
      </c>
      <c r="K43" s="26">
        <f t="shared" si="9"/>
        <v>3202</v>
      </c>
      <c r="L43" s="26"/>
      <c r="M43" s="26">
        <f>SUM(M42:M42)</f>
        <v>56432.19</v>
      </c>
      <c r="N43" s="26">
        <f>SUM(N42:N42)</f>
        <v>353053.66571666667</v>
      </c>
      <c r="O43" s="26">
        <f>N43/CALC!$A$8*CALC!$A$6</f>
        <v>12911.591107358723</v>
      </c>
      <c r="P43" s="26">
        <f>+N43+O43</f>
        <v>365965.25682402542</v>
      </c>
      <c r="Q43" s="57"/>
      <c r="R43" s="197">
        <f>(+P43/D43)*(1+CALC!$A$2)</f>
        <v>18.847210726437311</v>
      </c>
    </row>
    <row r="44" spans="1:21" s="30" customFormat="1" ht="12" thickBot="1">
      <c r="A44" s="59"/>
      <c r="B44" s="59"/>
      <c r="C44" s="63"/>
      <c r="D44" s="64"/>
      <c r="E44" s="65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0"/>
    </row>
    <row r="45" spans="1:21" ht="12" thickBot="1">
      <c r="A45" s="97" t="s">
        <v>11</v>
      </c>
      <c r="B45" s="98" t="s">
        <v>259</v>
      </c>
      <c r="D45" s="381" t="s">
        <v>254</v>
      </c>
      <c r="E45" s="382"/>
      <c r="F45" s="383"/>
      <c r="R45" s="36"/>
    </row>
    <row r="46" spans="1:21">
      <c r="R46" s="36"/>
    </row>
    <row r="47" spans="1:21" s="18" customFormat="1">
      <c r="A47" s="87" t="s">
        <v>255</v>
      </c>
      <c r="B47" s="87" t="s">
        <v>254</v>
      </c>
      <c r="C47" s="78">
        <v>420</v>
      </c>
      <c r="D47" s="70">
        <v>1500</v>
      </c>
      <c r="E47" s="88">
        <f>+D47/Q47*(CALC!$A$4)</f>
        <v>50000</v>
      </c>
      <c r="F47" s="61"/>
      <c r="G47" s="61">
        <v>33000</v>
      </c>
      <c r="H47" s="61">
        <v>39641</v>
      </c>
      <c r="I47" s="61">
        <f>0.75*358758.05</f>
        <v>269068.53749999998</v>
      </c>
      <c r="J47" s="61">
        <f>42000*12</f>
        <v>504000</v>
      </c>
      <c r="K47" s="61">
        <v>185</v>
      </c>
      <c r="L47" s="61">
        <v>0</v>
      </c>
      <c r="M47" s="61">
        <v>192376.39</v>
      </c>
      <c r="N47" s="61">
        <f>SUM(E47:M47)</f>
        <v>1088270.9275</v>
      </c>
      <c r="O47" s="56">
        <f>N47/CALC!$A$8*CALC!$A$6</f>
        <v>39799.357985373572</v>
      </c>
      <c r="P47" s="61">
        <f>+N47+O47</f>
        <v>1128070.2854853736</v>
      </c>
      <c r="Q47" s="72">
        <v>0.15</v>
      </c>
      <c r="R47" s="73"/>
    </row>
    <row r="48" spans="1:21" s="18" customFormat="1">
      <c r="A48" s="87" t="s">
        <v>256</v>
      </c>
      <c r="B48" s="87" t="s">
        <v>254</v>
      </c>
      <c r="C48" s="78">
        <v>421</v>
      </c>
      <c r="D48" s="70">
        <v>1500</v>
      </c>
      <c r="E48" s="88">
        <f>+D48/Q48*(CALC!$A$4)</f>
        <v>50000</v>
      </c>
      <c r="F48" s="61"/>
      <c r="G48" s="61">
        <v>33000</v>
      </c>
      <c r="H48" s="61">
        <v>39641</v>
      </c>
      <c r="I48" s="61">
        <f>0.75*358758.05</f>
        <v>269068.53749999998</v>
      </c>
      <c r="J48" s="61">
        <f>42000*12</f>
        <v>504000</v>
      </c>
      <c r="K48" s="61">
        <v>185</v>
      </c>
      <c r="L48" s="61">
        <v>0</v>
      </c>
      <c r="M48" s="61">
        <v>192376.39</v>
      </c>
      <c r="N48" s="61">
        <f>SUM(E48:M48)</f>
        <v>1088270.9275</v>
      </c>
      <c r="O48" s="56">
        <f>N48/CALC!$A$8*CALC!$A$6</f>
        <v>39799.357985373572</v>
      </c>
      <c r="P48" s="61">
        <f>+N48+O48</f>
        <v>1128070.2854853736</v>
      </c>
      <c r="Q48" s="72">
        <v>0.15</v>
      </c>
      <c r="R48" s="73"/>
      <c r="S48" s="41"/>
      <c r="T48" s="41"/>
      <c r="U48" s="41"/>
    </row>
    <row r="49" spans="1:18" s="30" customFormat="1">
      <c r="A49" s="59"/>
      <c r="B49" s="4" t="s">
        <v>15</v>
      </c>
      <c r="C49" s="42"/>
      <c r="D49" s="28">
        <f t="shared" ref="D49:N49" si="10">SUM(D47:D48)</f>
        <v>3000</v>
      </c>
      <c r="E49" s="26">
        <f t="shared" si="10"/>
        <v>100000</v>
      </c>
      <c r="F49" s="26">
        <f t="shared" si="10"/>
        <v>0</v>
      </c>
      <c r="G49" s="26">
        <f t="shared" si="10"/>
        <v>66000</v>
      </c>
      <c r="H49" s="26">
        <f t="shared" si="10"/>
        <v>79282</v>
      </c>
      <c r="I49" s="26">
        <f t="shared" si="10"/>
        <v>538137.07499999995</v>
      </c>
      <c r="J49" s="26">
        <f>SUM(J47:J48)</f>
        <v>1008000</v>
      </c>
      <c r="K49" s="26">
        <f t="shared" si="10"/>
        <v>370</v>
      </c>
      <c r="L49" s="26">
        <f t="shared" si="10"/>
        <v>0</v>
      </c>
      <c r="M49" s="26">
        <f t="shared" si="10"/>
        <v>384752.78</v>
      </c>
      <c r="N49" s="26">
        <f t="shared" si="10"/>
        <v>2176541.855</v>
      </c>
      <c r="O49" s="26">
        <f>N49/CALC!$A$8*CALC!$A$6</f>
        <v>79598.715970747144</v>
      </c>
      <c r="P49" s="26">
        <f>+N49+O49</f>
        <v>2256140.5709707472</v>
      </c>
      <c r="Q49" s="57"/>
      <c r="R49" s="197">
        <f>(+P49/D49)*(1+CALC!$A$2)</f>
        <v>774.60826269995653</v>
      </c>
    </row>
    <row r="50" spans="1:18" ht="12" thickBot="1">
      <c r="R50" s="36"/>
    </row>
    <row r="51" spans="1:18" s="18" customFormat="1" ht="12" thickBot="1">
      <c r="A51" s="325" t="s">
        <v>11</v>
      </c>
      <c r="B51" s="326" t="s">
        <v>693</v>
      </c>
      <c r="C51" s="313"/>
      <c r="D51" s="384" t="s">
        <v>628</v>
      </c>
      <c r="E51" s="385"/>
      <c r="F51" s="386"/>
      <c r="Q51" s="91"/>
      <c r="R51" s="73"/>
    </row>
    <row r="52" spans="1:18" s="18" customFormat="1">
      <c r="C52" s="313"/>
      <c r="D52" s="39"/>
      <c r="Q52" s="91"/>
      <c r="R52" s="73"/>
    </row>
    <row r="53" spans="1:18" s="18" customFormat="1">
      <c r="A53" s="87"/>
      <c r="B53" s="87"/>
      <c r="C53" s="78"/>
      <c r="D53" s="70">
        <v>1000</v>
      </c>
      <c r="E53" s="88">
        <f>+D53/Q53*(CALC!$A$4)</f>
        <v>33333.333333333336</v>
      </c>
      <c r="F53" s="61"/>
      <c r="G53" s="61">
        <v>33000</v>
      </c>
      <c r="H53" s="61">
        <v>39641</v>
      </c>
      <c r="I53" s="61">
        <f>0.75*128101</f>
        <v>96075.75</v>
      </c>
      <c r="J53" s="61">
        <f>11700*12</f>
        <v>140400</v>
      </c>
      <c r="K53" s="61">
        <v>8500</v>
      </c>
      <c r="L53" s="61"/>
      <c r="M53" s="61">
        <v>60000</v>
      </c>
      <c r="N53" s="61">
        <f>SUM(E53:M53)</f>
        <v>410950.08333333337</v>
      </c>
      <c r="O53" s="56">
        <f>N53/CALC!$A$8*CALC!$A$6</f>
        <v>15028.931736947863</v>
      </c>
      <c r="P53" s="61">
        <f>+N53+O53</f>
        <v>425979.01507028122</v>
      </c>
      <c r="Q53" s="72">
        <v>0.15</v>
      </c>
      <c r="R53" s="73"/>
    </row>
    <row r="54" spans="1:18" s="18" customFormat="1">
      <c r="A54" s="87"/>
      <c r="B54" s="87"/>
      <c r="C54" s="78"/>
      <c r="D54" s="70">
        <v>1000</v>
      </c>
      <c r="E54" s="88">
        <f>+D54/Q54*(CALC!$A$4)</f>
        <v>33333.333333333336</v>
      </c>
      <c r="F54" s="61"/>
      <c r="G54" s="61">
        <v>33000</v>
      </c>
      <c r="H54" s="61">
        <v>39641</v>
      </c>
      <c r="I54" s="61">
        <f>0.75*128101</f>
        <v>96075.75</v>
      </c>
      <c r="J54" s="61">
        <f>11700*12</f>
        <v>140400</v>
      </c>
      <c r="K54" s="61">
        <v>8500</v>
      </c>
      <c r="L54" s="61"/>
      <c r="M54" s="61">
        <v>60000</v>
      </c>
      <c r="N54" s="61">
        <f>SUM(E54:M54)</f>
        <v>410950.08333333337</v>
      </c>
      <c r="O54" s="56">
        <f>N54/CALC!$A$8*CALC!$A$6</f>
        <v>15028.931736947863</v>
      </c>
      <c r="P54" s="61">
        <f>+N54+O54</f>
        <v>425979.01507028122</v>
      </c>
      <c r="Q54" s="72">
        <v>0.15</v>
      </c>
      <c r="R54" s="73"/>
    </row>
    <row r="55" spans="1:18" s="19" customFormat="1">
      <c r="A55" s="89"/>
      <c r="B55" s="3" t="s">
        <v>15</v>
      </c>
      <c r="C55" s="206"/>
      <c r="D55" s="207">
        <f t="shared" ref="D55" si="11">SUM(D53:D54)</f>
        <v>2000</v>
      </c>
      <c r="E55" s="56">
        <f t="shared" ref="E55" si="12">SUM(E53:E54)</f>
        <v>66666.666666666672</v>
      </c>
      <c r="F55" s="56">
        <f t="shared" ref="F55" si="13">SUM(F53:F54)</f>
        <v>0</v>
      </c>
      <c r="G55" s="56">
        <f t="shared" ref="G55" si="14">SUM(G53:G54)</f>
        <v>66000</v>
      </c>
      <c r="H55" s="56">
        <f t="shared" ref="H55" si="15">SUM(H53:H54)</f>
        <v>79282</v>
      </c>
      <c r="I55" s="56">
        <f t="shared" ref="I55" si="16">SUM(I53:I54)</f>
        <v>192151.5</v>
      </c>
      <c r="J55" s="56">
        <f>SUM(J53:J54)</f>
        <v>280800</v>
      </c>
      <c r="K55" s="56">
        <f t="shared" ref="K55" si="17">SUM(K53:K54)</f>
        <v>17000</v>
      </c>
      <c r="L55" s="56"/>
      <c r="M55" s="56">
        <f>SUM(M53:M54)</f>
        <v>120000</v>
      </c>
      <c r="N55" s="56">
        <f>SUM(N53:N54)</f>
        <v>821900.16666666674</v>
      </c>
      <c r="O55" s="56">
        <f>N55/CALC!$A$8*CALC!$A$6</f>
        <v>30057.863473895726</v>
      </c>
      <c r="P55" s="56">
        <f>+N55+O55</f>
        <v>851958.03014056245</v>
      </c>
      <c r="Q55" s="74"/>
      <c r="R55" s="75">
        <f>(+P55/D55)*(1+CALC!$A$2)</f>
        <v>438.75838552238963</v>
      </c>
    </row>
    <row r="56" spans="1:18" s="18" customFormat="1" ht="12" thickBot="1">
      <c r="C56" s="313"/>
      <c r="D56" s="39"/>
      <c r="Q56" s="91"/>
      <c r="R56" s="73"/>
    </row>
    <row r="57" spans="1:18" s="18" customFormat="1" ht="12" thickBot="1">
      <c r="A57" s="325" t="s">
        <v>11</v>
      </c>
      <c r="B57" s="326" t="s">
        <v>694</v>
      </c>
      <c r="C57" s="313"/>
      <c r="D57" s="384" t="s">
        <v>629</v>
      </c>
      <c r="E57" s="385"/>
      <c r="F57" s="386"/>
      <c r="Q57" s="91"/>
      <c r="R57" s="73"/>
    </row>
    <row r="58" spans="1:18" s="18" customFormat="1">
      <c r="C58" s="313"/>
      <c r="D58" s="39"/>
      <c r="Q58" s="91"/>
      <c r="R58" s="73"/>
    </row>
    <row r="59" spans="1:18" s="18" customFormat="1">
      <c r="A59" s="87"/>
      <c r="B59" s="87"/>
      <c r="C59" s="78"/>
      <c r="D59" s="70">
        <v>1000</v>
      </c>
      <c r="E59" s="88">
        <f>+D59/Q59*(CALC!$A$4)</f>
        <v>33333.333333333336</v>
      </c>
      <c r="F59" s="61"/>
      <c r="G59" s="61">
        <v>33000</v>
      </c>
      <c r="H59" s="61">
        <v>73654</v>
      </c>
      <c r="I59" s="61">
        <f>0.75*143943</f>
        <v>107957.25</v>
      </c>
      <c r="J59" s="61">
        <f>12623.09*12</f>
        <v>151477.08000000002</v>
      </c>
      <c r="K59" s="61">
        <v>8500</v>
      </c>
      <c r="L59" s="61"/>
      <c r="M59" s="61">
        <v>80000</v>
      </c>
      <c r="N59" s="61">
        <f>SUM(E59:M59)</f>
        <v>487921.66333333333</v>
      </c>
      <c r="O59" s="56">
        <f>N59/CALC!$A$8*CALC!$A$6</f>
        <v>17843.873668877601</v>
      </c>
      <c r="P59" s="61">
        <f>+N59+O59</f>
        <v>505765.53700221091</v>
      </c>
      <c r="Q59" s="72">
        <v>0.15</v>
      </c>
      <c r="R59" s="73"/>
    </row>
    <row r="60" spans="1:18" s="18" customFormat="1">
      <c r="A60" s="87"/>
      <c r="B60" s="87"/>
      <c r="C60" s="78"/>
      <c r="D60" s="70">
        <v>1000</v>
      </c>
      <c r="E60" s="88">
        <f>+D60/Q60*(CALC!$A$4)</f>
        <v>33333.333333333336</v>
      </c>
      <c r="F60" s="61"/>
      <c r="G60" s="61">
        <v>33000</v>
      </c>
      <c r="H60" s="61">
        <v>73654</v>
      </c>
      <c r="I60" s="61">
        <f>0.75*143943</f>
        <v>107957.25</v>
      </c>
      <c r="J60" s="61">
        <f>12623.09*12</f>
        <v>151477.08000000002</v>
      </c>
      <c r="K60" s="61">
        <v>8500</v>
      </c>
      <c r="L60" s="61"/>
      <c r="M60" s="61">
        <v>80000</v>
      </c>
      <c r="N60" s="61">
        <f>SUM(E60:M60)</f>
        <v>487921.66333333333</v>
      </c>
      <c r="O60" s="56">
        <f>N60/CALC!$A$8*CALC!$A$6</f>
        <v>17843.873668877601</v>
      </c>
      <c r="P60" s="61">
        <f>+N60+O60</f>
        <v>505765.53700221091</v>
      </c>
      <c r="Q60" s="72">
        <v>0.15</v>
      </c>
      <c r="R60" s="73"/>
    </row>
    <row r="61" spans="1:18" s="19" customFormat="1">
      <c r="A61" s="89"/>
      <c r="B61" s="3" t="s">
        <v>15</v>
      </c>
      <c r="C61" s="206"/>
      <c r="D61" s="207">
        <f t="shared" ref="D61" si="18">SUM(D59:D60)</f>
        <v>2000</v>
      </c>
      <c r="E61" s="56">
        <f t="shared" ref="E61" si="19">SUM(E59:E60)</f>
        <v>66666.666666666672</v>
      </c>
      <c r="F61" s="56">
        <f t="shared" ref="F61" si="20">SUM(F59:F60)</f>
        <v>0</v>
      </c>
      <c r="G61" s="56">
        <f t="shared" ref="G61" si="21">SUM(G59:G60)</f>
        <v>66000</v>
      </c>
      <c r="H61" s="56">
        <f t="shared" ref="H61" si="22">SUM(H59:H60)</f>
        <v>147308</v>
      </c>
      <c r="I61" s="56">
        <f t="shared" ref="I61" si="23">SUM(I59:I60)</f>
        <v>215914.5</v>
      </c>
      <c r="J61" s="56">
        <f>SUM(J59:J60)</f>
        <v>302954.16000000003</v>
      </c>
      <c r="K61" s="56">
        <f t="shared" ref="K61" si="24">SUM(K59:K60)</f>
        <v>17000</v>
      </c>
      <c r="L61" s="56"/>
      <c r="M61" s="56">
        <f>SUM(M59:M60)</f>
        <v>160000</v>
      </c>
      <c r="N61" s="56">
        <f>SUM(N59:N60)</f>
        <v>975843.32666666666</v>
      </c>
      <c r="O61" s="56">
        <f>N61/CALC!$A$8*CALC!$A$6</f>
        <v>35687.747337755201</v>
      </c>
      <c r="P61" s="56">
        <f>+N61+O61</f>
        <v>1011531.0740044218</v>
      </c>
      <c r="Q61" s="74"/>
      <c r="R61" s="75">
        <f>(+P61/D61)*(1+CALC!$A$2)</f>
        <v>520.93850311227732</v>
      </c>
    </row>
    <row r="62" spans="1:18" s="18" customFormat="1" ht="12" thickBot="1">
      <c r="C62" s="313"/>
      <c r="D62" s="39"/>
      <c r="Q62" s="91"/>
      <c r="R62" s="73"/>
    </row>
    <row r="63" spans="1:18" s="18" customFormat="1" ht="12" thickBot="1">
      <c r="A63" s="325" t="s">
        <v>11</v>
      </c>
      <c r="B63" s="326" t="s">
        <v>695</v>
      </c>
      <c r="C63" s="313"/>
      <c r="D63" s="384" t="s">
        <v>631</v>
      </c>
      <c r="E63" s="385"/>
      <c r="F63" s="386"/>
      <c r="Q63" s="91"/>
      <c r="R63" s="73"/>
    </row>
    <row r="64" spans="1:18" s="18" customFormat="1">
      <c r="C64" s="313"/>
      <c r="D64" s="39"/>
      <c r="Q64" s="91"/>
      <c r="R64" s="73"/>
    </row>
    <row r="65" spans="1:21" s="18" customFormat="1">
      <c r="A65" s="87"/>
      <c r="B65" s="87"/>
      <c r="C65" s="78"/>
      <c r="D65" s="70">
        <v>15000</v>
      </c>
      <c r="E65" s="329">
        <f>+D65/2.5*11.5</f>
        <v>69000</v>
      </c>
      <c r="F65" s="61"/>
      <c r="G65" s="61">
        <v>33000</v>
      </c>
      <c r="H65" s="61">
        <v>29461.599999999999</v>
      </c>
      <c r="I65" s="61">
        <f>0.75*123750</f>
        <v>92812.5</v>
      </c>
      <c r="J65" s="61">
        <f>11954*12</f>
        <v>143448</v>
      </c>
      <c r="K65" s="61">
        <v>8500</v>
      </c>
      <c r="L65" s="61"/>
      <c r="M65" s="61">
        <v>60000</v>
      </c>
      <c r="N65" s="61">
        <f>SUM(E65:M65)</f>
        <v>436222.1</v>
      </c>
      <c r="O65" s="56">
        <f>N65/CALC!$A$8*CALC!$A$6</f>
        <v>15953.159346923221</v>
      </c>
      <c r="P65" s="61">
        <f>+N65+O65</f>
        <v>452175.25934692321</v>
      </c>
      <c r="Q65" s="72">
        <v>0.15</v>
      </c>
      <c r="R65" s="73"/>
    </row>
    <row r="66" spans="1:21" s="18" customFormat="1">
      <c r="A66" s="87"/>
      <c r="B66" s="87"/>
      <c r="C66" s="78"/>
      <c r="D66" s="70">
        <v>15000</v>
      </c>
      <c r="E66" s="329">
        <f>+D66/2.5*11.5</f>
        <v>69000</v>
      </c>
      <c r="F66" s="61"/>
      <c r="G66" s="61">
        <v>33000</v>
      </c>
      <c r="H66" s="61">
        <v>29461.599999999999</v>
      </c>
      <c r="I66" s="61">
        <f>0.75*123750</f>
        <v>92812.5</v>
      </c>
      <c r="J66" s="61">
        <f>11954*12</f>
        <v>143448</v>
      </c>
      <c r="K66" s="61">
        <v>8500</v>
      </c>
      <c r="L66" s="61"/>
      <c r="M66" s="61">
        <v>60000</v>
      </c>
      <c r="N66" s="61">
        <f>SUM(E66:M66)</f>
        <v>436222.1</v>
      </c>
      <c r="O66" s="56">
        <f>N66/CALC!$A$8*CALC!$A$6</f>
        <v>15953.159346923221</v>
      </c>
      <c r="P66" s="61">
        <f>+N66+O66</f>
        <v>452175.25934692321</v>
      </c>
      <c r="Q66" s="72">
        <v>0.15</v>
      </c>
      <c r="R66" s="73"/>
    </row>
    <row r="67" spans="1:21" s="19" customFormat="1">
      <c r="A67" s="89"/>
      <c r="B67" s="3" t="s">
        <v>15</v>
      </c>
      <c r="C67" s="206"/>
      <c r="D67" s="207">
        <f t="shared" ref="D67" si="25">SUM(D65:D66)</f>
        <v>30000</v>
      </c>
      <c r="E67" s="56">
        <f t="shared" ref="E67" si="26">SUM(E65:E66)</f>
        <v>138000</v>
      </c>
      <c r="F67" s="56">
        <f t="shared" ref="F67" si="27">SUM(F65:F66)</f>
        <v>0</v>
      </c>
      <c r="G67" s="56">
        <f t="shared" ref="G67" si="28">SUM(G65:G66)</f>
        <v>66000</v>
      </c>
      <c r="H67" s="56">
        <f t="shared" ref="H67" si="29">SUM(H65:H66)</f>
        <v>58923.199999999997</v>
      </c>
      <c r="I67" s="56">
        <f t="shared" ref="I67" si="30">SUM(I65:I66)</f>
        <v>185625</v>
      </c>
      <c r="J67" s="56">
        <f>SUM(J65:J66)</f>
        <v>286896</v>
      </c>
      <c r="K67" s="56">
        <f t="shared" ref="K67" si="31">SUM(K65:K66)</f>
        <v>17000</v>
      </c>
      <c r="L67" s="56"/>
      <c r="M67" s="56">
        <f>SUM(M65:M66)</f>
        <v>120000</v>
      </c>
      <c r="N67" s="56">
        <f>SUM(N65:N66)</f>
        <v>872444.2</v>
      </c>
      <c r="O67" s="56">
        <f>N67/CALC!$A$8*CALC!$A$6</f>
        <v>31906.318693846442</v>
      </c>
      <c r="P67" s="56">
        <f>+N67+O67</f>
        <v>904350.51869384642</v>
      </c>
      <c r="Q67" s="74"/>
      <c r="R67" s="75">
        <f>(+P67/D67)*(1+CALC!$A$2)</f>
        <v>31.049367808488725</v>
      </c>
    </row>
    <row r="68" spans="1:21" s="18" customFormat="1" ht="12" thickBot="1">
      <c r="C68" s="313"/>
      <c r="D68" s="39"/>
      <c r="Q68" s="91"/>
      <c r="R68" s="73"/>
    </row>
    <row r="69" spans="1:21" s="18" customFormat="1" ht="12" thickBot="1">
      <c r="A69" s="325" t="s">
        <v>11</v>
      </c>
      <c r="B69" s="326" t="s">
        <v>696</v>
      </c>
      <c r="C69" s="313"/>
      <c r="D69" s="384" t="s">
        <v>630</v>
      </c>
      <c r="E69" s="385"/>
      <c r="F69" s="386"/>
      <c r="Q69" s="91"/>
      <c r="R69" s="73"/>
    </row>
    <row r="70" spans="1:21" s="18" customFormat="1">
      <c r="C70" s="313"/>
      <c r="D70" s="39"/>
      <c r="Q70" s="91"/>
      <c r="R70" s="73"/>
    </row>
    <row r="71" spans="1:21" s="18" customFormat="1">
      <c r="A71" s="87"/>
      <c r="B71" s="87"/>
      <c r="C71" s="78"/>
      <c r="D71" s="70">
        <v>15000</v>
      </c>
      <c r="E71" s="329">
        <f t="shared" ref="E71:E74" si="32">+D71/2.5*11.5</f>
        <v>69000</v>
      </c>
      <c r="F71" s="61"/>
      <c r="G71" s="61">
        <v>6058</v>
      </c>
      <c r="H71" s="61">
        <v>25000</v>
      </c>
      <c r="I71" s="61">
        <f>0.75*85979</f>
        <v>64484.25</v>
      </c>
      <c r="J71" s="61">
        <f>8305*12</f>
        <v>99660</v>
      </c>
      <c r="K71" s="61">
        <v>8500</v>
      </c>
      <c r="L71" s="61">
        <v>0</v>
      </c>
      <c r="M71" s="61">
        <v>50000</v>
      </c>
      <c r="N71" s="61">
        <f>SUM(E71:M71)</f>
        <v>322702.25</v>
      </c>
      <c r="O71" s="56">
        <f>N71/CALC!$A$8*CALC!$A$6</f>
        <v>11801.603852396873</v>
      </c>
      <c r="P71" s="61">
        <f>+N71+O71</f>
        <v>334503.85385239689</v>
      </c>
      <c r="Q71" s="72">
        <v>0.15</v>
      </c>
      <c r="R71" s="73"/>
    </row>
    <row r="72" spans="1:21" s="18" customFormat="1">
      <c r="A72" s="87"/>
      <c r="B72" s="87"/>
      <c r="C72" s="78"/>
      <c r="D72" s="70">
        <v>15000</v>
      </c>
      <c r="E72" s="329">
        <f t="shared" si="32"/>
        <v>69000</v>
      </c>
      <c r="F72" s="61"/>
      <c r="G72" s="61">
        <v>6058</v>
      </c>
      <c r="H72" s="61">
        <v>25000</v>
      </c>
      <c r="I72" s="61">
        <f t="shared" ref="I72:I74" si="33">0.75*85979</f>
        <v>64484.25</v>
      </c>
      <c r="J72" s="61">
        <f t="shared" ref="J72:J74" si="34">8305*12</f>
        <v>99660</v>
      </c>
      <c r="K72" s="61">
        <v>8500</v>
      </c>
      <c r="L72" s="61">
        <v>0</v>
      </c>
      <c r="M72" s="61">
        <v>50000</v>
      </c>
      <c r="N72" s="61">
        <f>SUM(E72:M72)</f>
        <v>322702.25</v>
      </c>
      <c r="O72" s="56">
        <f>N72/CALC!$A$8*CALC!$A$6</f>
        <v>11801.603852396873</v>
      </c>
      <c r="P72" s="61">
        <f>+N72+O72</f>
        <v>334503.85385239689</v>
      </c>
      <c r="Q72" s="72">
        <v>0.15</v>
      </c>
      <c r="R72" s="73"/>
      <c r="S72" s="41"/>
      <c r="T72" s="41"/>
      <c r="U72" s="41"/>
    </row>
    <row r="73" spans="1:21" s="18" customFormat="1">
      <c r="A73" s="87"/>
      <c r="B73" s="87"/>
      <c r="C73" s="78"/>
      <c r="D73" s="70">
        <v>15000</v>
      </c>
      <c r="E73" s="329">
        <f t="shared" si="32"/>
        <v>69000</v>
      </c>
      <c r="F73" s="61"/>
      <c r="G73" s="61">
        <v>6058</v>
      </c>
      <c r="H73" s="61">
        <v>25000</v>
      </c>
      <c r="I73" s="61">
        <f t="shared" si="33"/>
        <v>64484.25</v>
      </c>
      <c r="J73" s="61">
        <f t="shared" si="34"/>
        <v>99660</v>
      </c>
      <c r="K73" s="61">
        <v>8500</v>
      </c>
      <c r="L73" s="61">
        <v>0</v>
      </c>
      <c r="M73" s="61">
        <v>50000</v>
      </c>
      <c r="N73" s="61">
        <f t="shared" ref="N73:N74" si="35">SUM(E73:M73)</f>
        <v>322702.25</v>
      </c>
      <c r="O73" s="56">
        <f>N73/CALC!$A$8*CALC!$A$6</f>
        <v>11801.603852396873</v>
      </c>
      <c r="P73" s="61">
        <f t="shared" ref="P73:P74" si="36">+N73+O73</f>
        <v>334503.85385239689</v>
      </c>
      <c r="Q73" s="72">
        <v>0.15</v>
      </c>
      <c r="R73" s="73"/>
    </row>
    <row r="74" spans="1:21" s="18" customFormat="1">
      <c r="A74" s="87"/>
      <c r="B74" s="87"/>
      <c r="C74" s="78"/>
      <c r="D74" s="70">
        <v>15000</v>
      </c>
      <c r="E74" s="329">
        <f t="shared" si="32"/>
        <v>69000</v>
      </c>
      <c r="F74" s="61"/>
      <c r="G74" s="61">
        <v>6058</v>
      </c>
      <c r="H74" s="61">
        <v>25000</v>
      </c>
      <c r="I74" s="61">
        <f t="shared" si="33"/>
        <v>64484.25</v>
      </c>
      <c r="J74" s="61">
        <f t="shared" si="34"/>
        <v>99660</v>
      </c>
      <c r="K74" s="61">
        <v>8500</v>
      </c>
      <c r="L74" s="61">
        <v>0</v>
      </c>
      <c r="M74" s="61">
        <v>50000</v>
      </c>
      <c r="N74" s="61">
        <f t="shared" si="35"/>
        <v>322702.25</v>
      </c>
      <c r="O74" s="56">
        <f>N74/CALC!$A$8*CALC!$A$6</f>
        <v>11801.603852396873</v>
      </c>
      <c r="P74" s="61">
        <f t="shared" si="36"/>
        <v>334503.85385239689</v>
      </c>
      <c r="Q74" s="72">
        <v>0.15</v>
      </c>
      <c r="R74" s="73"/>
    </row>
    <row r="75" spans="1:21" s="19" customFormat="1">
      <c r="A75" s="89"/>
      <c r="B75" s="3" t="s">
        <v>15</v>
      </c>
      <c r="C75" s="206"/>
      <c r="D75" s="207">
        <f t="shared" ref="D75:K75" si="37">SUM(D71:D74)</f>
        <v>60000</v>
      </c>
      <c r="E75" s="56">
        <f t="shared" si="37"/>
        <v>276000</v>
      </c>
      <c r="F75" s="56">
        <f t="shared" si="37"/>
        <v>0</v>
      </c>
      <c r="G75" s="56">
        <f t="shared" si="37"/>
        <v>24232</v>
      </c>
      <c r="H75" s="56">
        <f t="shared" si="37"/>
        <v>100000</v>
      </c>
      <c r="I75" s="56">
        <f t="shared" si="37"/>
        <v>257937</v>
      </c>
      <c r="J75" s="56">
        <f>SUM(J71:J74)</f>
        <v>398640</v>
      </c>
      <c r="K75" s="56">
        <f t="shared" si="37"/>
        <v>34000</v>
      </c>
      <c r="L75" s="56">
        <f>SUM(L71:L74)</f>
        <v>0</v>
      </c>
      <c r="M75" s="56">
        <f t="shared" ref="M75:N75" si="38">SUM(M71:M74)</f>
        <v>200000</v>
      </c>
      <c r="N75" s="56">
        <f t="shared" si="38"/>
        <v>1290809</v>
      </c>
      <c r="O75" s="56">
        <f>N75/CALC!$A$8*CALC!$A$6</f>
        <v>47206.415409587491</v>
      </c>
      <c r="P75" s="56">
        <f>+N75+O75</f>
        <v>1338015.4154095876</v>
      </c>
      <c r="Q75" s="74"/>
      <c r="R75" s="75">
        <f>(+P75/D75)*(1+CALC!$A$2)</f>
        <v>22.96926463119792</v>
      </c>
    </row>
    <row r="76" spans="1:21">
      <c r="R76" s="36"/>
    </row>
    <row r="77" spans="1:21" ht="12" thickBot="1">
      <c r="R77" s="36"/>
    </row>
    <row r="78" spans="1:21" ht="12" thickBot="1">
      <c r="A78" s="97" t="s">
        <v>11</v>
      </c>
      <c r="B78" s="98" t="s">
        <v>161</v>
      </c>
      <c r="D78" s="381" t="s">
        <v>27</v>
      </c>
      <c r="E78" s="382"/>
      <c r="F78" s="383"/>
      <c r="R78" s="36"/>
    </row>
    <row r="79" spans="1:21">
      <c r="R79" s="36"/>
    </row>
    <row r="80" spans="1:21">
      <c r="A80" s="22" t="s">
        <v>174</v>
      </c>
      <c r="B80" s="22" t="s">
        <v>90</v>
      </c>
      <c r="C80" s="33">
        <v>102</v>
      </c>
      <c r="D80" s="15">
        <v>0</v>
      </c>
      <c r="E80" s="54">
        <f>+D80/Q80*(CALC!$A$4)</f>
        <v>0</v>
      </c>
      <c r="F80" s="23">
        <f>1344.42*1.045*1.045</f>
        <v>1468.1402504999999</v>
      </c>
      <c r="G80" s="23">
        <v>710</v>
      </c>
      <c r="H80" s="23">
        <f>58.23*1.045*1.045</f>
        <v>63.588615749999988</v>
      </c>
      <c r="I80" s="23"/>
      <c r="J80" s="23"/>
      <c r="K80" s="23">
        <v>130</v>
      </c>
      <c r="L80" s="23"/>
      <c r="M80" s="23"/>
      <c r="N80" s="23">
        <f>SUM(E80:M80)</f>
        <v>2371.7288662499996</v>
      </c>
      <c r="O80" s="26">
        <f>N80/CALC!$A$8*CALC!$A$6</f>
        <v>86.736936370220121</v>
      </c>
      <c r="P80" s="23">
        <f t="shared" ref="P80:P90" si="39">+N80+O80</f>
        <v>2458.4658026202196</v>
      </c>
      <c r="Q80" s="55">
        <v>3</v>
      </c>
      <c r="R80" s="36"/>
    </row>
    <row r="81" spans="1:18">
      <c r="A81" s="22" t="s">
        <v>175</v>
      </c>
      <c r="B81" s="22" t="s">
        <v>92</v>
      </c>
      <c r="C81" s="33">
        <v>108</v>
      </c>
      <c r="D81" s="15">
        <v>0</v>
      </c>
      <c r="E81" s="54">
        <f>+D81/Q81*(CALC!$A$4)</f>
        <v>0</v>
      </c>
      <c r="F81" s="23">
        <f>487.86*1.045*1.045</f>
        <v>532.75531649999994</v>
      </c>
      <c r="G81" s="23">
        <v>710</v>
      </c>
      <c r="H81" s="23">
        <v>20000</v>
      </c>
      <c r="I81" s="23"/>
      <c r="J81" s="23"/>
      <c r="K81" s="23">
        <v>130</v>
      </c>
      <c r="L81" s="23"/>
      <c r="M81" s="23"/>
      <c r="N81" s="23">
        <f>SUM(E81:M81)</f>
        <v>21372.755316499999</v>
      </c>
      <c r="O81" s="26">
        <f>N81/CALC!$A$8*CALC!$A$6</f>
        <v>781.6269997483505</v>
      </c>
      <c r="P81" s="23">
        <f t="shared" si="39"/>
        <v>22154.38231624835</v>
      </c>
      <c r="Q81" s="55">
        <v>0.09</v>
      </c>
      <c r="R81" s="36"/>
    </row>
    <row r="82" spans="1:18">
      <c r="A82" s="22" t="s">
        <v>176</v>
      </c>
      <c r="B82" s="22" t="s">
        <v>93</v>
      </c>
      <c r="C82" s="33">
        <v>109</v>
      </c>
      <c r="D82" s="15">
        <v>0</v>
      </c>
      <c r="E82" s="54">
        <f>+D82/Q82*(CALC!$A$4)</f>
        <v>0</v>
      </c>
      <c r="F82" s="23">
        <v>1500</v>
      </c>
      <c r="G82" s="23">
        <v>710</v>
      </c>
      <c r="H82" s="23">
        <v>10000</v>
      </c>
      <c r="I82" s="23"/>
      <c r="J82" s="23"/>
      <c r="K82" s="23">
        <v>102</v>
      </c>
      <c r="L82" s="23"/>
      <c r="M82" s="23"/>
      <c r="N82" s="23">
        <f>SUM(E82:M82)</f>
        <v>12312</v>
      </c>
      <c r="O82" s="26">
        <f>N82/CALC!$A$8*CALC!$A$6</f>
        <v>450.26443611939584</v>
      </c>
      <c r="P82" s="23">
        <f t="shared" si="39"/>
        <v>12762.264436119396</v>
      </c>
      <c r="Q82" s="55">
        <v>0.1</v>
      </c>
      <c r="R82" s="36"/>
    </row>
    <row r="83" spans="1:18">
      <c r="A83" s="22" t="s">
        <v>124</v>
      </c>
      <c r="B83" s="22" t="s">
        <v>26</v>
      </c>
      <c r="C83" s="33">
        <v>118</v>
      </c>
      <c r="D83" s="15">
        <v>0</v>
      </c>
      <c r="E83" s="54">
        <f>+D83/Q83*(CALC!$A$4)</f>
        <v>0</v>
      </c>
      <c r="F83" s="23">
        <f>6056.55*1.045*1.045</f>
        <v>6613.9040137499996</v>
      </c>
      <c r="G83" s="23">
        <v>5000</v>
      </c>
      <c r="H83" s="23">
        <v>30000</v>
      </c>
      <c r="I83" s="23"/>
      <c r="J83" s="23"/>
      <c r="K83" s="23">
        <v>130</v>
      </c>
      <c r="L83" s="23"/>
      <c r="M83" s="23"/>
      <c r="N83" s="23">
        <f t="shared" ref="N83:N94" si="40">SUM(E83:M83)</f>
        <v>41743.904013749998</v>
      </c>
      <c r="O83" s="26">
        <f>N83/CALC!$A$8*CALC!$A$6</f>
        <v>1526.6240580062806</v>
      </c>
      <c r="P83" s="23">
        <f t="shared" si="39"/>
        <v>43270.528071756278</v>
      </c>
      <c r="Q83" s="55">
        <v>0.27</v>
      </c>
      <c r="R83" s="36"/>
    </row>
    <row r="84" spans="1:18">
      <c r="A84" s="22" t="s">
        <v>125</v>
      </c>
      <c r="B84" s="22" t="s">
        <v>26</v>
      </c>
      <c r="C84" s="33">
        <v>119</v>
      </c>
      <c r="D84" s="15">
        <v>0</v>
      </c>
      <c r="E84" s="54">
        <f>+D84/Q84*(CALC!$A$4)</f>
        <v>0</v>
      </c>
      <c r="F84" s="23">
        <f>1141.18*1.045*1.045</f>
        <v>1246.1970894999997</v>
      </c>
      <c r="G84" s="23">
        <v>5000</v>
      </c>
      <c r="H84" s="23">
        <f>4637*1.045*1.045</f>
        <v>5063.7199249999994</v>
      </c>
      <c r="I84" s="23"/>
      <c r="J84" s="23"/>
      <c r="K84" s="23">
        <v>130</v>
      </c>
      <c r="L84" s="23"/>
      <c r="M84" s="23"/>
      <c r="N84" s="23">
        <f t="shared" si="40"/>
        <v>11439.917014499999</v>
      </c>
      <c r="O84" s="26">
        <f>N84/CALC!$A$8*CALC!$A$6</f>
        <v>418.37132746804133</v>
      </c>
      <c r="P84" s="23">
        <f t="shared" si="39"/>
        <v>11858.28834196804</v>
      </c>
      <c r="Q84" s="55">
        <v>0.27</v>
      </c>
      <c r="R84" s="36"/>
    </row>
    <row r="85" spans="1:18">
      <c r="A85" s="22" t="s">
        <v>177</v>
      </c>
      <c r="B85" s="22" t="s">
        <v>90</v>
      </c>
      <c r="C85" s="33">
        <v>264</v>
      </c>
      <c r="D85" s="15">
        <v>100</v>
      </c>
      <c r="E85" s="54">
        <f>+D85/Q85*(CALC!$A$4)</f>
        <v>1388.8888888888889</v>
      </c>
      <c r="F85" s="23">
        <v>0</v>
      </c>
      <c r="G85" s="23">
        <v>800</v>
      </c>
      <c r="H85" s="23">
        <v>2000</v>
      </c>
      <c r="I85" s="23"/>
      <c r="J85" s="23"/>
      <c r="K85" s="23">
        <v>130</v>
      </c>
      <c r="L85" s="23"/>
      <c r="M85" s="23"/>
      <c r="N85" s="23">
        <f>SUM(E85:M85)</f>
        <v>4318.8888888888887</v>
      </c>
      <c r="O85" s="26">
        <f>N85/CALC!$A$8*CALC!$A$6</f>
        <v>157.94688679482451</v>
      </c>
      <c r="P85" s="23">
        <f t="shared" si="39"/>
        <v>4476.8357756837131</v>
      </c>
      <c r="Q85" s="55">
        <v>0.36</v>
      </c>
      <c r="R85" s="36"/>
    </row>
    <row r="86" spans="1:18">
      <c r="A86" s="22" t="s">
        <v>178</v>
      </c>
      <c r="B86" s="22" t="s">
        <v>90</v>
      </c>
      <c r="C86" s="33">
        <v>265</v>
      </c>
      <c r="D86" s="15">
        <v>100</v>
      </c>
      <c r="E86" s="54">
        <f>+D86/Q86*(CALC!$A$4)</f>
        <v>1388.8888888888889</v>
      </c>
      <c r="F86" s="23">
        <v>0</v>
      </c>
      <c r="G86" s="23">
        <v>800</v>
      </c>
      <c r="H86" s="23">
        <v>2000</v>
      </c>
      <c r="I86" s="23"/>
      <c r="J86" s="23"/>
      <c r="K86" s="23">
        <v>130</v>
      </c>
      <c r="L86" s="23"/>
      <c r="M86" s="23"/>
      <c r="N86" s="23">
        <f>SUM(E86:M86)</f>
        <v>4318.8888888888887</v>
      </c>
      <c r="O86" s="26">
        <f>N86/CALC!$A$8*CALC!$A$6</f>
        <v>157.94688679482451</v>
      </c>
      <c r="P86" s="23">
        <f t="shared" si="39"/>
        <v>4476.8357756837131</v>
      </c>
      <c r="Q86" s="55">
        <v>0.36</v>
      </c>
      <c r="R86" s="36"/>
    </row>
    <row r="87" spans="1:18">
      <c r="A87" s="22" t="s">
        <v>179</v>
      </c>
      <c r="B87" s="22" t="s">
        <v>90</v>
      </c>
      <c r="C87" s="33">
        <v>266</v>
      </c>
      <c r="D87" s="15">
        <v>100</v>
      </c>
      <c r="E87" s="54">
        <f>+D87/Q87*(CALC!$A$4)</f>
        <v>1388.8888888888889</v>
      </c>
      <c r="F87" s="23">
        <v>0</v>
      </c>
      <c r="G87" s="23">
        <v>800</v>
      </c>
      <c r="H87" s="23">
        <v>2000</v>
      </c>
      <c r="I87" s="23"/>
      <c r="J87" s="23"/>
      <c r="K87" s="23">
        <v>130</v>
      </c>
      <c r="L87" s="23"/>
      <c r="M87" s="23"/>
      <c r="N87" s="23">
        <f>SUM(E87:M87)</f>
        <v>4318.8888888888887</v>
      </c>
      <c r="O87" s="26">
        <f>N87/CALC!$A$8*CALC!$A$6</f>
        <v>157.94688679482451</v>
      </c>
      <c r="P87" s="23">
        <f t="shared" si="39"/>
        <v>4476.8357756837131</v>
      </c>
      <c r="Q87" s="55">
        <v>0.36</v>
      </c>
      <c r="R87" s="36"/>
    </row>
    <row r="88" spans="1:18">
      <c r="A88" s="22" t="s">
        <v>180</v>
      </c>
      <c r="B88" s="22" t="s">
        <v>90</v>
      </c>
      <c r="C88" s="33">
        <v>267</v>
      </c>
      <c r="D88" s="15">
        <v>100</v>
      </c>
      <c r="E88" s="54">
        <f>+D88/Q88*(CALC!$A$4)</f>
        <v>1388.8888888888889</v>
      </c>
      <c r="F88" s="23">
        <v>0</v>
      </c>
      <c r="G88" s="23">
        <v>800</v>
      </c>
      <c r="H88" s="23">
        <v>2000</v>
      </c>
      <c r="I88" s="23"/>
      <c r="J88" s="23"/>
      <c r="K88" s="23">
        <v>130</v>
      </c>
      <c r="L88" s="23"/>
      <c r="M88" s="23"/>
      <c r="N88" s="23">
        <f>SUM(E88:M88)</f>
        <v>4318.8888888888887</v>
      </c>
      <c r="O88" s="26">
        <f>N88/CALC!$A$8*CALC!$A$6</f>
        <v>157.94688679482451</v>
      </c>
      <c r="P88" s="23">
        <f t="shared" si="39"/>
        <v>4476.8357756837131</v>
      </c>
      <c r="Q88" s="55">
        <v>0.36</v>
      </c>
      <c r="R88" s="36"/>
    </row>
    <row r="89" spans="1:18">
      <c r="A89" s="22" t="s">
        <v>126</v>
      </c>
      <c r="B89" s="22" t="s">
        <v>94</v>
      </c>
      <c r="C89" s="33">
        <v>120</v>
      </c>
      <c r="D89" s="15">
        <v>266</v>
      </c>
      <c r="E89" s="54">
        <f>+D89/Q89*(CALC!$A$4)</f>
        <v>13300</v>
      </c>
      <c r="F89" s="23">
        <f>3080.98*1.045*1.045</f>
        <v>3364.5071844999998</v>
      </c>
      <c r="G89" s="23">
        <v>3000</v>
      </c>
      <c r="H89" s="23">
        <v>20000</v>
      </c>
      <c r="I89" s="23"/>
      <c r="J89" s="23"/>
      <c r="K89" s="23">
        <v>130</v>
      </c>
      <c r="L89" s="23"/>
      <c r="M89" s="23"/>
      <c r="N89" s="23">
        <f t="shared" si="40"/>
        <v>39794.507184499998</v>
      </c>
      <c r="O89" s="26">
        <f>N89/CALC!$A$8*CALC!$A$6</f>
        <v>1455.3323049121295</v>
      </c>
      <c r="P89" s="23">
        <f t="shared" si="39"/>
        <v>41249.83948941213</v>
      </c>
      <c r="Q89" s="55">
        <v>0.1</v>
      </c>
      <c r="R89" s="36"/>
    </row>
    <row r="90" spans="1:18">
      <c r="A90" s="22" t="s">
        <v>127</v>
      </c>
      <c r="B90" s="22" t="s">
        <v>90</v>
      </c>
      <c r="C90" s="33">
        <v>122</v>
      </c>
      <c r="D90" s="15">
        <v>52</v>
      </c>
      <c r="E90" s="54">
        <f>+D90/Q90*(CALC!$A$4)</f>
        <v>2166.666666666667</v>
      </c>
      <c r="F90" s="23">
        <v>1500</v>
      </c>
      <c r="G90" s="23">
        <v>3000</v>
      </c>
      <c r="H90" s="23">
        <v>2000</v>
      </c>
      <c r="I90" s="23"/>
      <c r="J90" s="23"/>
      <c r="K90" s="23">
        <v>130</v>
      </c>
      <c r="L90" s="23"/>
      <c r="M90" s="23"/>
      <c r="N90" s="23">
        <f t="shared" si="40"/>
        <v>8796.6666666666679</v>
      </c>
      <c r="O90" s="26">
        <f>N90/CALC!$A$8*CALC!$A$6</f>
        <v>321.70452862223459</v>
      </c>
      <c r="P90" s="23">
        <f t="shared" si="39"/>
        <v>9118.3711952889025</v>
      </c>
      <c r="Q90" s="55">
        <v>0.12</v>
      </c>
      <c r="R90" s="36"/>
    </row>
    <row r="91" spans="1:18">
      <c r="A91" s="22" t="s">
        <v>181</v>
      </c>
      <c r="B91" s="22" t="s">
        <v>41</v>
      </c>
      <c r="C91" s="33">
        <v>101</v>
      </c>
      <c r="D91" s="15">
        <v>0</v>
      </c>
      <c r="E91" s="54">
        <f>+D91/Q91*(CALC!$A$4)</f>
        <v>0</v>
      </c>
      <c r="F91" s="23">
        <f>1250.63*1.045*1.045</f>
        <v>1365.7192257499999</v>
      </c>
      <c r="G91" s="23">
        <v>1800</v>
      </c>
      <c r="H91" s="23">
        <f>4374*1.045*1.045</f>
        <v>4776.5173499999992</v>
      </c>
      <c r="I91" s="23"/>
      <c r="J91" s="23"/>
      <c r="K91" s="23">
        <v>175</v>
      </c>
      <c r="L91" s="23"/>
      <c r="M91" s="23"/>
      <c r="N91" s="23">
        <f t="shared" si="40"/>
        <v>8117.2365757499992</v>
      </c>
      <c r="O91" s="26">
        <f>N91/CALC!$A$8*CALC!$A$6</f>
        <v>296.85696471960762</v>
      </c>
      <c r="P91" s="62">
        <f>+N91</f>
        <v>8117.2365757499992</v>
      </c>
      <c r="Q91" s="55">
        <v>3</v>
      </c>
      <c r="R91" s="36"/>
    </row>
    <row r="92" spans="1:18">
      <c r="A92" s="22" t="s">
        <v>182</v>
      </c>
      <c r="B92" s="22" t="s">
        <v>99</v>
      </c>
      <c r="C92" s="33">
        <v>104</v>
      </c>
      <c r="D92" s="15">
        <v>0</v>
      </c>
      <c r="E92" s="54">
        <f>+D92/Q92*(CALC!$A$4)</f>
        <v>0</v>
      </c>
      <c r="F92" s="23">
        <f>1229.52*1.045*1.045</f>
        <v>1342.6665779999998</v>
      </c>
      <c r="G92" s="23">
        <v>710</v>
      </c>
      <c r="H92" s="23">
        <f>1860*1.045*1.045</f>
        <v>2031.1664999999996</v>
      </c>
      <c r="I92" s="23"/>
      <c r="J92" s="23"/>
      <c r="K92" s="23">
        <v>145</v>
      </c>
      <c r="L92" s="23"/>
      <c r="M92" s="23"/>
      <c r="N92" s="23">
        <f t="shared" si="40"/>
        <v>4228.8330779999997</v>
      </c>
      <c r="O92" s="26">
        <f>N92/CALC!$A$8*CALC!$A$6</f>
        <v>154.65343902767373</v>
      </c>
      <c r="P92" s="62">
        <f>+N92</f>
        <v>4228.8330779999997</v>
      </c>
      <c r="Q92" s="55">
        <v>2.5</v>
      </c>
      <c r="R92" s="36"/>
    </row>
    <row r="93" spans="1:18">
      <c r="A93" s="22" t="s">
        <v>139</v>
      </c>
      <c r="B93" s="22" t="s">
        <v>100</v>
      </c>
      <c r="C93" s="33">
        <v>105</v>
      </c>
      <c r="D93" s="15">
        <v>0</v>
      </c>
      <c r="E93" s="54">
        <f>+D93/Q93*(CALC!$A$4)</f>
        <v>0</v>
      </c>
      <c r="F93" s="23">
        <f>487.86*1.045*1.045</f>
        <v>532.75531649999994</v>
      </c>
      <c r="G93" s="23">
        <v>710</v>
      </c>
      <c r="H93" s="23">
        <f>58.23*1.045*1.045</f>
        <v>63.588615749999988</v>
      </c>
      <c r="I93" s="23"/>
      <c r="J93" s="23"/>
      <c r="K93" s="23">
        <v>250</v>
      </c>
      <c r="L93" s="23"/>
      <c r="M93" s="23"/>
      <c r="N93" s="23">
        <f t="shared" si="40"/>
        <v>1556.3439322499999</v>
      </c>
      <c r="O93" s="26">
        <f>N93/CALC!$A$8*CALC!$A$6</f>
        <v>56.917342678881532</v>
      </c>
      <c r="P93" s="62">
        <f>+N93</f>
        <v>1556.3439322499999</v>
      </c>
      <c r="Q93" s="55">
        <v>1.8</v>
      </c>
      <c r="R93" s="36"/>
    </row>
    <row r="94" spans="1:18">
      <c r="A94" s="22" t="s">
        <v>183</v>
      </c>
      <c r="B94" s="22" t="s">
        <v>101</v>
      </c>
      <c r="C94" s="33">
        <v>106</v>
      </c>
      <c r="D94" s="15">
        <v>0</v>
      </c>
      <c r="E94" s="54">
        <f>+D94/Q94*(CALC!$A$4)</f>
        <v>0</v>
      </c>
      <c r="F94" s="23">
        <f>489.19*1.045*1.045</f>
        <v>534.20770974999994</v>
      </c>
      <c r="G94" s="23">
        <v>710</v>
      </c>
      <c r="H94" s="23">
        <v>2000</v>
      </c>
      <c r="I94" s="23"/>
      <c r="J94" s="23"/>
      <c r="K94" s="23">
        <v>250</v>
      </c>
      <c r="L94" s="23"/>
      <c r="M94" s="23"/>
      <c r="N94" s="23">
        <f t="shared" si="40"/>
        <v>3494.20770975</v>
      </c>
      <c r="O94" s="26">
        <f>N94/CALC!$A$8*CALC!$A$6</f>
        <v>127.78731839787437</v>
      </c>
      <c r="P94" s="62">
        <f>+N94</f>
        <v>3494.20770975</v>
      </c>
      <c r="Q94" s="55">
        <v>2</v>
      </c>
      <c r="R94" s="36"/>
    </row>
    <row r="95" spans="1:18">
      <c r="A95" s="22" t="s">
        <v>184</v>
      </c>
      <c r="B95" s="22" t="s">
        <v>95</v>
      </c>
      <c r="C95" s="33">
        <v>99</v>
      </c>
      <c r="D95" s="15">
        <v>100</v>
      </c>
      <c r="E95" s="54">
        <f>+D95/Q95*(CALC!$A$4)</f>
        <v>1388.8888888888889</v>
      </c>
      <c r="F95" s="23">
        <f>2648.75*1.045*1.045</f>
        <v>2892.5012187499997</v>
      </c>
      <c r="G95" s="23">
        <v>800</v>
      </c>
      <c r="H95" s="23">
        <f>2839*1.045*1.045</f>
        <v>3100.2589749999993</v>
      </c>
      <c r="I95" s="23"/>
      <c r="J95" s="23"/>
      <c r="K95" s="23">
        <v>130</v>
      </c>
      <c r="L95" s="23"/>
      <c r="M95" s="23"/>
      <c r="N95" s="23">
        <f>SUM(E95:M95)</f>
        <v>8311.6490826388872</v>
      </c>
      <c r="O95" s="26">
        <f>N95/CALC!$A$8*CALC!$A$6</f>
        <v>303.96686057640449</v>
      </c>
      <c r="P95" s="23">
        <f>+N95+O95</f>
        <v>8615.6159432152908</v>
      </c>
      <c r="Q95" s="55">
        <v>0.36</v>
      </c>
      <c r="R95" s="36"/>
    </row>
    <row r="96" spans="1:18" s="30" customFormat="1">
      <c r="A96" s="59"/>
      <c r="B96" s="4" t="s">
        <v>15</v>
      </c>
      <c r="C96" s="42"/>
      <c r="D96" s="28">
        <f>SUM(D80:D95)</f>
        <v>818</v>
      </c>
      <c r="E96" s="26">
        <f t="shared" ref="E96:N96" si="41">SUM(E80:E95)</f>
        <v>22411.111111111113</v>
      </c>
      <c r="F96" s="26">
        <f t="shared" si="41"/>
        <v>22893.353903499999</v>
      </c>
      <c r="G96" s="26">
        <f t="shared" si="41"/>
        <v>26060</v>
      </c>
      <c r="H96" s="26">
        <f t="shared" si="41"/>
        <v>107098.83998150002</v>
      </c>
      <c r="I96" s="26">
        <f t="shared" si="41"/>
        <v>0</v>
      </c>
      <c r="J96" s="26"/>
      <c r="K96" s="26">
        <f t="shared" si="41"/>
        <v>2352</v>
      </c>
      <c r="L96" s="26"/>
      <c r="M96" s="26">
        <f t="shared" si="41"/>
        <v>0</v>
      </c>
      <c r="N96" s="26">
        <f t="shared" si="41"/>
        <v>180815.30499611105</v>
      </c>
      <c r="O96" s="26">
        <f>N96/CALC!$A$8*CALC!$A$6</f>
        <v>6612.6300638263901</v>
      </c>
      <c r="P96" s="26">
        <f>+N96+O96</f>
        <v>187427.93505993744</v>
      </c>
      <c r="Q96" s="57"/>
      <c r="R96" s="197">
        <f>(+P96/D96)*(1+CALC!$A$2)</f>
        <v>236.00339011214618</v>
      </c>
    </row>
    <row r="97" spans="1:18">
      <c r="R97" s="36"/>
    </row>
    <row r="98" spans="1:18" hidden="1">
      <c r="A98" s="22"/>
      <c r="B98" s="22"/>
      <c r="C98" s="33"/>
      <c r="D98" s="15"/>
      <c r="E98" s="54"/>
      <c r="F98" s="23"/>
      <c r="G98" s="23"/>
      <c r="H98" s="23"/>
      <c r="I98" s="23"/>
      <c r="J98" s="23"/>
      <c r="K98" s="23"/>
      <c r="L98" s="23"/>
      <c r="M98" s="23"/>
      <c r="N98" s="23"/>
      <c r="O98" s="26"/>
      <c r="P98" s="23"/>
      <c r="Q98" s="55">
        <v>0.36</v>
      </c>
      <c r="R98" s="36"/>
    </row>
    <row r="99" spans="1:18" s="30" customFormat="1" hidden="1">
      <c r="A99" s="59"/>
      <c r="B99" s="4"/>
      <c r="C99" s="42"/>
      <c r="D99" s="28"/>
      <c r="E99" s="26">
        <f t="shared" ref="E99:N99" si="42">SUM(E98:E98)</f>
        <v>0</v>
      </c>
      <c r="F99" s="26">
        <f t="shared" si="42"/>
        <v>0</v>
      </c>
      <c r="G99" s="26">
        <f t="shared" si="42"/>
        <v>0</v>
      </c>
      <c r="H99" s="26">
        <f t="shared" si="42"/>
        <v>0</v>
      </c>
      <c r="I99" s="26">
        <f t="shared" si="42"/>
        <v>0</v>
      </c>
      <c r="J99" s="26"/>
      <c r="K99" s="26">
        <f t="shared" si="42"/>
        <v>0</v>
      </c>
      <c r="L99" s="26"/>
      <c r="M99" s="26">
        <f t="shared" si="42"/>
        <v>0</v>
      </c>
      <c r="N99" s="26">
        <f t="shared" si="42"/>
        <v>0</v>
      </c>
      <c r="O99" s="26">
        <f>N99/CALC!$A$8*CALC!$A$6</f>
        <v>0</v>
      </c>
      <c r="P99" s="26">
        <f>+N99+O99</f>
        <v>0</v>
      </c>
      <c r="Q99" s="57"/>
      <c r="R99" s="60"/>
    </row>
    <row r="100" spans="1:18" ht="12" thickBot="1">
      <c r="R100" s="36"/>
    </row>
    <row r="101" spans="1:18" ht="12" thickBot="1">
      <c r="A101" s="97" t="s">
        <v>11</v>
      </c>
      <c r="B101" s="98" t="s">
        <v>162</v>
      </c>
      <c r="D101" s="381" t="s">
        <v>18</v>
      </c>
      <c r="E101" s="382"/>
      <c r="F101" s="383"/>
      <c r="R101" s="36"/>
    </row>
    <row r="102" spans="1:18">
      <c r="R102" s="36"/>
    </row>
    <row r="103" spans="1:18">
      <c r="A103" s="22" t="s">
        <v>128</v>
      </c>
      <c r="B103" s="22" t="s">
        <v>33</v>
      </c>
      <c r="C103" s="33">
        <v>77</v>
      </c>
      <c r="D103" s="15">
        <v>91</v>
      </c>
      <c r="E103" s="54">
        <f>+D103/Q103*(CALC!$A$4)</f>
        <v>2275</v>
      </c>
      <c r="F103" s="23">
        <f>2457.53*1.045*1.045</f>
        <v>2683.6841982499996</v>
      </c>
      <c r="G103" s="23">
        <v>756</v>
      </c>
      <c r="H103" s="23">
        <f>4250*1.045*1.045</f>
        <v>4641.1062499999998</v>
      </c>
      <c r="I103" s="23"/>
      <c r="J103" s="23"/>
      <c r="K103" s="23">
        <v>130</v>
      </c>
      <c r="L103" s="23"/>
      <c r="M103" s="23"/>
      <c r="N103" s="23">
        <f>SUM(E103:M103)</f>
        <v>10485.790448249998</v>
      </c>
      <c r="O103" s="26">
        <f>N103/CALC!$A$8*CALC!$A$6</f>
        <v>383.47778780437233</v>
      </c>
      <c r="P103" s="23">
        <f>+N103+O103</f>
        <v>10869.268236054369</v>
      </c>
      <c r="Q103" s="55">
        <v>0.2</v>
      </c>
      <c r="R103" s="36"/>
    </row>
    <row r="104" spans="1:18">
      <c r="A104" s="22" t="s">
        <v>129</v>
      </c>
      <c r="B104" s="22" t="s">
        <v>96</v>
      </c>
      <c r="C104" s="33">
        <v>81</v>
      </c>
      <c r="D104" s="15">
        <v>110</v>
      </c>
      <c r="E104" s="54">
        <f>+D104/Q104*(CALC!$A$4)</f>
        <v>3437.5</v>
      </c>
      <c r="F104" s="23">
        <v>1500</v>
      </c>
      <c r="G104" s="23">
        <v>756</v>
      </c>
      <c r="H104" s="23">
        <f>945*1.045*1.045</f>
        <v>1031.9636249999999</v>
      </c>
      <c r="I104" s="23"/>
      <c r="J104" s="23"/>
      <c r="K104" s="23">
        <v>130</v>
      </c>
      <c r="L104" s="23"/>
      <c r="M104" s="23"/>
      <c r="N104" s="23">
        <f>SUM(E104:M104)</f>
        <v>6855.4636250000003</v>
      </c>
      <c r="O104" s="26">
        <f>N104/CALC!$A$8*CALC!$A$6</f>
        <v>250.71243205390306</v>
      </c>
      <c r="P104" s="23">
        <f>+N104+O104</f>
        <v>7106.1760570539036</v>
      </c>
      <c r="Q104" s="55">
        <v>0.16</v>
      </c>
      <c r="R104" s="36"/>
    </row>
    <row r="105" spans="1:18" s="30" customFormat="1">
      <c r="A105" s="59"/>
      <c r="B105" s="4" t="s">
        <v>15</v>
      </c>
      <c r="C105" s="42"/>
      <c r="D105" s="28">
        <f t="shared" ref="D105:K105" si="43">SUM(D103:D104)</f>
        <v>201</v>
      </c>
      <c r="E105" s="26">
        <f t="shared" si="43"/>
        <v>5712.5</v>
      </c>
      <c r="F105" s="26">
        <f t="shared" si="43"/>
        <v>4183.6841982499991</v>
      </c>
      <c r="G105" s="26">
        <f t="shared" si="43"/>
        <v>1512</v>
      </c>
      <c r="H105" s="26">
        <f t="shared" si="43"/>
        <v>5673.0698749999992</v>
      </c>
      <c r="I105" s="26">
        <f t="shared" si="43"/>
        <v>0</v>
      </c>
      <c r="J105" s="26"/>
      <c r="K105" s="26">
        <f t="shared" si="43"/>
        <v>260</v>
      </c>
      <c r="L105" s="26"/>
      <c r="M105" s="26">
        <f>SUM(M103:M104)</f>
        <v>0</v>
      </c>
      <c r="N105" s="26">
        <f>SUM(N103:N104)</f>
        <v>17341.254073249998</v>
      </c>
      <c r="O105" s="26">
        <f>N105/CALC!$A$8*CALC!$A$6</f>
        <v>634.19021985827533</v>
      </c>
      <c r="P105" s="26">
        <f>+N105+O105</f>
        <v>17975.444293108274</v>
      </c>
      <c r="Q105" s="57"/>
      <c r="R105" s="197">
        <f>(+P105/D105)*(1+CALC!$A$2)</f>
        <v>92.112973243291165</v>
      </c>
    </row>
    <row r="106" spans="1:18" ht="12" thickBot="1">
      <c r="R106" s="36"/>
    </row>
    <row r="107" spans="1:18" ht="12" thickBot="1">
      <c r="A107" s="97" t="s">
        <v>11</v>
      </c>
      <c r="B107" s="98" t="s">
        <v>163</v>
      </c>
      <c r="D107" s="381" t="s">
        <v>63</v>
      </c>
      <c r="E107" s="382"/>
      <c r="F107" s="383"/>
      <c r="R107" s="36"/>
    </row>
    <row r="108" spans="1:18">
      <c r="R108" s="36"/>
    </row>
    <row r="109" spans="1:18">
      <c r="A109" s="22" t="s">
        <v>185</v>
      </c>
      <c r="B109" s="22" t="s">
        <v>97</v>
      </c>
      <c r="C109" s="33">
        <v>86</v>
      </c>
      <c r="D109" s="15"/>
      <c r="E109" s="54"/>
      <c r="F109" s="23"/>
      <c r="G109" s="23">
        <v>800</v>
      </c>
      <c r="H109" s="23">
        <v>1500</v>
      </c>
      <c r="I109" s="23"/>
      <c r="J109" s="23"/>
      <c r="K109" s="23">
        <v>95</v>
      </c>
      <c r="L109" s="23"/>
      <c r="M109" s="23"/>
      <c r="N109" s="23">
        <f t="shared" ref="N109:N114" si="44">SUM(E109:M109)</f>
        <v>2395</v>
      </c>
      <c r="O109" s="26">
        <f>N109/CALC!$A$8*CALC!$A$6</f>
        <v>87.587989319846741</v>
      </c>
      <c r="P109" s="62">
        <f t="shared" ref="P109:P114" si="45">+N109</f>
        <v>2395</v>
      </c>
      <c r="Q109" s="55"/>
      <c r="R109" s="36"/>
    </row>
    <row r="110" spans="1:18">
      <c r="A110" s="22" t="s">
        <v>186</v>
      </c>
      <c r="B110" s="22" t="s">
        <v>17</v>
      </c>
      <c r="C110" s="33">
        <v>87</v>
      </c>
      <c r="D110" s="15"/>
      <c r="E110" s="54"/>
      <c r="F110" s="23"/>
      <c r="G110" s="23">
        <v>800</v>
      </c>
      <c r="H110" s="23">
        <v>1500</v>
      </c>
      <c r="I110" s="23"/>
      <c r="J110" s="23"/>
      <c r="K110" s="23">
        <v>180</v>
      </c>
      <c r="L110" s="23"/>
      <c r="M110" s="23"/>
      <c r="N110" s="23">
        <f t="shared" si="44"/>
        <v>2480</v>
      </c>
      <c r="O110" s="26">
        <f>N110/CALC!$A$8*CALC!$A$6</f>
        <v>90.696540089027096</v>
      </c>
      <c r="P110" s="62">
        <f t="shared" si="45"/>
        <v>2480</v>
      </c>
      <c r="Q110" s="55"/>
      <c r="R110" s="36"/>
    </row>
    <row r="111" spans="1:18">
      <c r="A111" s="22" t="s">
        <v>187</v>
      </c>
      <c r="B111" s="22" t="s">
        <v>40</v>
      </c>
      <c r="C111" s="33">
        <v>88</v>
      </c>
      <c r="D111" s="15"/>
      <c r="E111" s="54"/>
      <c r="F111" s="23"/>
      <c r="G111" s="23">
        <v>800</v>
      </c>
      <c r="H111" s="23">
        <f>165*1.045*1.045</f>
        <v>180.18412499999997</v>
      </c>
      <c r="I111" s="23"/>
      <c r="J111" s="23"/>
      <c r="K111" s="23">
        <v>180</v>
      </c>
      <c r="L111" s="23"/>
      <c r="M111" s="23"/>
      <c r="N111" s="23">
        <f t="shared" si="44"/>
        <v>1160.184125</v>
      </c>
      <c r="O111" s="26">
        <f>N111/CALC!$A$8*CALC!$A$6</f>
        <v>42.42930887246586</v>
      </c>
      <c r="P111" s="62">
        <f t="shared" si="45"/>
        <v>1160.184125</v>
      </c>
      <c r="Q111" s="55"/>
      <c r="R111" s="36"/>
    </row>
    <row r="112" spans="1:18">
      <c r="A112" s="22" t="s">
        <v>188</v>
      </c>
      <c r="B112" s="22" t="s">
        <v>98</v>
      </c>
      <c r="C112" s="33">
        <v>89</v>
      </c>
      <c r="D112" s="15"/>
      <c r="E112" s="54"/>
      <c r="F112" s="23"/>
      <c r="G112" s="23">
        <v>800</v>
      </c>
      <c r="H112" s="23">
        <v>1500</v>
      </c>
      <c r="I112" s="23"/>
      <c r="J112" s="23"/>
      <c r="K112" s="23">
        <v>361</v>
      </c>
      <c r="L112" s="23"/>
      <c r="M112" s="23"/>
      <c r="N112" s="23">
        <f t="shared" si="44"/>
        <v>2661</v>
      </c>
      <c r="O112" s="26">
        <f>N112/CALC!$A$8*CALC!$A$6</f>
        <v>97.315924668105296</v>
      </c>
      <c r="P112" s="62">
        <f t="shared" si="45"/>
        <v>2661</v>
      </c>
      <c r="Q112" s="55"/>
      <c r="R112" s="36"/>
    </row>
    <row r="113" spans="1:18">
      <c r="A113" s="22" t="s">
        <v>189</v>
      </c>
      <c r="B113" s="22" t="s">
        <v>98</v>
      </c>
      <c r="C113" s="33">
        <v>90</v>
      </c>
      <c r="D113" s="15"/>
      <c r="E113" s="54"/>
      <c r="F113" s="23"/>
      <c r="G113" s="23">
        <v>800</v>
      </c>
      <c r="H113" s="23">
        <v>1500</v>
      </c>
      <c r="I113" s="23"/>
      <c r="J113" s="23"/>
      <c r="K113" s="23">
        <v>95</v>
      </c>
      <c r="L113" s="23"/>
      <c r="M113" s="23"/>
      <c r="N113" s="23">
        <f t="shared" si="44"/>
        <v>2395</v>
      </c>
      <c r="O113" s="26">
        <f>N113/CALC!$A$8*CALC!$A$6</f>
        <v>87.587989319846741</v>
      </c>
      <c r="P113" s="62">
        <f t="shared" si="45"/>
        <v>2395</v>
      </c>
      <c r="Q113" s="55"/>
      <c r="R113" s="36"/>
    </row>
    <row r="114" spans="1:18">
      <c r="A114" s="22" t="s">
        <v>190</v>
      </c>
      <c r="B114" s="22" t="s">
        <v>98</v>
      </c>
      <c r="C114" s="33">
        <v>91</v>
      </c>
      <c r="D114" s="15"/>
      <c r="E114" s="54"/>
      <c r="F114" s="23"/>
      <c r="G114" s="23">
        <v>800</v>
      </c>
      <c r="H114" s="23">
        <f>5077*1.045*1.045</f>
        <v>5544.2109249999985</v>
      </c>
      <c r="I114" s="23"/>
      <c r="J114" s="23"/>
      <c r="K114" s="23">
        <v>361</v>
      </c>
      <c r="L114" s="23"/>
      <c r="M114" s="23"/>
      <c r="N114" s="23">
        <f t="shared" si="44"/>
        <v>6705.2109249999985</v>
      </c>
      <c r="O114" s="26">
        <f>N114/CALC!$A$8*CALC!$A$6</f>
        <v>245.21751268735682</v>
      </c>
      <c r="P114" s="62">
        <f t="shared" si="45"/>
        <v>6705.2109249999985</v>
      </c>
      <c r="Q114" s="55"/>
      <c r="R114" s="36"/>
    </row>
    <row r="115" spans="1:18" s="30" customFormat="1">
      <c r="A115" s="59"/>
      <c r="B115" s="4" t="s">
        <v>15</v>
      </c>
      <c r="C115" s="42"/>
      <c r="D115" s="28">
        <f t="shared" ref="D115:K115" si="46">SUM(D109:D114)</f>
        <v>0</v>
      </c>
      <c r="E115" s="26">
        <f t="shared" si="46"/>
        <v>0</v>
      </c>
      <c r="F115" s="26">
        <f t="shared" si="46"/>
        <v>0</v>
      </c>
      <c r="G115" s="26">
        <f t="shared" si="46"/>
        <v>4800</v>
      </c>
      <c r="H115" s="26">
        <f t="shared" si="46"/>
        <v>11724.395049999999</v>
      </c>
      <c r="I115" s="26">
        <f t="shared" si="46"/>
        <v>0</v>
      </c>
      <c r="J115" s="26"/>
      <c r="K115" s="26">
        <f t="shared" si="46"/>
        <v>1272</v>
      </c>
      <c r="L115" s="26"/>
      <c r="M115" s="26">
        <f>SUM(M109:M114)</f>
        <v>0</v>
      </c>
      <c r="N115" s="26">
        <f>SUM(N109:N114)</f>
        <v>17796.395049999999</v>
      </c>
      <c r="O115" s="26">
        <f>N115/CALC!$A$8*CALC!$A$6</f>
        <v>650.83526495664853</v>
      </c>
      <c r="P115" s="26">
        <f>+N115+O115</f>
        <v>18447.230314956647</v>
      </c>
      <c r="Q115" s="57"/>
      <c r="R115" s="60"/>
    </row>
    <row r="116" spans="1:18" s="30" customFormat="1" ht="12" thickBot="1">
      <c r="A116" s="59"/>
      <c r="B116" s="59"/>
      <c r="C116" s="63"/>
      <c r="D116" s="64"/>
      <c r="E116" s="65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0"/>
    </row>
    <row r="117" spans="1:18" s="30" customFormat="1" ht="12" thickBot="1">
      <c r="A117" s="66" t="s">
        <v>64</v>
      </c>
      <c r="B117" s="103" t="s">
        <v>15</v>
      </c>
      <c r="C117" s="104"/>
      <c r="D117" s="105">
        <f>+D7+D9+D16+D26+D32+D37+D42+D47+D48+D53+D54+D59+D60+D65+D66+D75+D96+D105+D115</f>
        <v>218019</v>
      </c>
      <c r="E117" s="106">
        <f t="shared" ref="E117:O117" si="47">+E12+E28+E33+E49+E96+E105+E115+E22+E43</f>
        <v>328992.10543537757</v>
      </c>
      <c r="F117" s="106">
        <f t="shared" si="47"/>
        <v>27077.038101749997</v>
      </c>
      <c r="G117" s="106">
        <f t="shared" si="47"/>
        <v>150584.82999999999</v>
      </c>
      <c r="H117" s="106">
        <f t="shared" si="47"/>
        <v>204678.30490649998</v>
      </c>
      <c r="I117" s="106">
        <f t="shared" si="47"/>
        <v>884009.93834999995</v>
      </c>
      <c r="J117" s="106">
        <f>+J12+J28+J33+J49+J96+J105+J115+J22+J43+J75+J67+J61+J38+J17</f>
        <v>2980328.5200000005</v>
      </c>
      <c r="K117" s="106">
        <f t="shared" si="47"/>
        <v>18368</v>
      </c>
      <c r="L117" s="106" t="e">
        <f t="shared" si="47"/>
        <v>#REF!</v>
      </c>
      <c r="M117" s="106">
        <f t="shared" si="47"/>
        <v>627632.01</v>
      </c>
      <c r="N117" s="106">
        <f t="shared" si="47"/>
        <v>4057598.7467936277</v>
      </c>
      <c r="O117" s="106">
        <f t="shared" si="47"/>
        <v>148391.1965337719</v>
      </c>
      <c r="P117" s="106">
        <f>+$P$12+$P$28+$P$33+$P$49+$P$96+$P$105+$P$115+$P$22+$P$43+$P$75+$P$17+$P$38+$P$55+$P$61+$P$67</f>
        <v>8807370.6531368382</v>
      </c>
      <c r="Q117" s="58"/>
      <c r="R117" s="58"/>
    </row>
    <row r="118" spans="1:18" s="30" customFormat="1" ht="12" thickBot="1">
      <c r="A118" s="59"/>
      <c r="B118" s="59"/>
      <c r="C118" s="63"/>
      <c r="D118" s="64"/>
      <c r="E118" s="65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0"/>
    </row>
    <row r="119" spans="1:18" ht="12" thickBot="1">
      <c r="A119" s="97" t="s">
        <v>11</v>
      </c>
      <c r="B119" s="98" t="s">
        <v>164</v>
      </c>
      <c r="D119" s="381" t="s">
        <v>17</v>
      </c>
      <c r="E119" s="382"/>
      <c r="F119" s="383"/>
      <c r="R119" s="36"/>
    </row>
    <row r="120" spans="1:18">
      <c r="R120" s="36"/>
    </row>
    <row r="121" spans="1:18" s="18" customFormat="1">
      <c r="A121" s="87" t="s">
        <v>131</v>
      </c>
      <c r="B121" s="87" t="s">
        <v>102</v>
      </c>
      <c r="C121" s="78">
        <v>100</v>
      </c>
      <c r="D121" s="70">
        <v>50</v>
      </c>
      <c r="E121" s="88">
        <f>+D121/Q121*(CALC!$A$4)</f>
        <v>83.333333333333343</v>
      </c>
      <c r="F121" s="61"/>
      <c r="G121" s="61">
        <v>800</v>
      </c>
      <c r="H121" s="61">
        <v>2000</v>
      </c>
      <c r="I121" s="61">
        <v>0</v>
      </c>
      <c r="J121" s="61"/>
      <c r="K121" s="61">
        <v>180</v>
      </c>
      <c r="L121" s="61"/>
      <c r="M121" s="61">
        <v>0</v>
      </c>
      <c r="N121" s="61">
        <f>SUM(E121:M121)</f>
        <v>3063.3333333333335</v>
      </c>
      <c r="O121" s="56">
        <f>N121/CALC!$A$8*CALC!$A$6</f>
        <v>112.02973164222568</v>
      </c>
      <c r="P121" s="61">
        <f>+N121+O121</f>
        <v>3175.3630649755592</v>
      </c>
      <c r="Q121" s="72">
        <v>3</v>
      </c>
      <c r="R121" s="73"/>
    </row>
    <row r="122" spans="1:18">
      <c r="A122" s="22"/>
      <c r="B122" s="22"/>
      <c r="C122" s="33"/>
      <c r="D122" s="15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55"/>
      <c r="R122" s="36"/>
    </row>
    <row r="123" spans="1:18" s="30" customFormat="1">
      <c r="A123" s="59"/>
      <c r="B123" s="4" t="s">
        <v>15</v>
      </c>
      <c r="C123" s="42"/>
      <c r="D123" s="28">
        <f>SUM(D121:D122)</f>
        <v>50</v>
      </c>
      <c r="E123" s="26">
        <f t="shared" ref="E123:N123" si="48">SUM(E121:E122)</f>
        <v>83.333333333333343</v>
      </c>
      <c r="F123" s="26">
        <f t="shared" si="48"/>
        <v>0</v>
      </c>
      <c r="G123" s="26">
        <f t="shared" si="48"/>
        <v>800</v>
      </c>
      <c r="H123" s="26">
        <f t="shared" si="48"/>
        <v>2000</v>
      </c>
      <c r="I123" s="26">
        <f t="shared" si="48"/>
        <v>0</v>
      </c>
      <c r="J123" s="26"/>
      <c r="K123" s="26">
        <f t="shared" si="48"/>
        <v>180</v>
      </c>
      <c r="L123" s="26"/>
      <c r="M123" s="26">
        <f t="shared" si="48"/>
        <v>0</v>
      </c>
      <c r="N123" s="26">
        <f t="shared" si="48"/>
        <v>3063.3333333333335</v>
      </c>
      <c r="O123" s="26">
        <f>N123/CALC!$A$8*CALC!$A$6</f>
        <v>112.02973164222568</v>
      </c>
      <c r="P123" s="26">
        <f>+N123+O123</f>
        <v>3175.3630649755592</v>
      </c>
      <c r="Q123" s="57"/>
      <c r="R123" s="197">
        <f>(+P123/D123)*(1+CALC!$A$2)</f>
        <v>65.412479138496522</v>
      </c>
    </row>
    <row r="124" spans="1:18" s="30" customFormat="1" ht="12" thickBot="1">
      <c r="A124" s="59"/>
      <c r="B124" s="59"/>
      <c r="C124" s="63"/>
      <c r="D124" s="64"/>
      <c r="E124" s="65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0"/>
    </row>
    <row r="125" spans="1:18" s="30" customFormat="1" ht="12" thickBot="1">
      <c r="A125" s="66" t="s">
        <v>65</v>
      </c>
      <c r="B125" s="103" t="s">
        <v>15</v>
      </c>
      <c r="C125" s="104"/>
      <c r="D125" s="105">
        <f>+D123+D10+D11+D21+D27</f>
        <v>58050</v>
      </c>
      <c r="E125" s="106"/>
      <c r="F125" s="106"/>
      <c r="G125" s="106"/>
      <c r="H125" s="106"/>
      <c r="I125" s="106"/>
      <c r="J125" s="106"/>
      <c r="K125" s="106"/>
      <c r="L125" s="106"/>
      <c r="M125" s="106"/>
      <c r="N125" s="106"/>
      <c r="O125" s="106"/>
      <c r="P125" s="106"/>
      <c r="Q125" s="58"/>
      <c r="R125" s="58"/>
    </row>
    <row r="126" spans="1:18" ht="12" thickBot="1">
      <c r="R126" s="36"/>
    </row>
    <row r="127" spans="1:18" s="30" customFormat="1" ht="12" thickBot="1">
      <c r="A127" s="30" t="s">
        <v>22</v>
      </c>
      <c r="B127" s="103" t="s">
        <v>15</v>
      </c>
      <c r="C127" s="104"/>
      <c r="D127" s="105">
        <f t="shared" ref="D127:K127" si="49">+D117+D125</f>
        <v>276069</v>
      </c>
      <c r="E127" s="106">
        <f t="shared" si="49"/>
        <v>328992.10543537757</v>
      </c>
      <c r="F127" s="106">
        <f t="shared" si="49"/>
        <v>27077.038101749997</v>
      </c>
      <c r="G127" s="106">
        <f t="shared" si="49"/>
        <v>150584.82999999999</v>
      </c>
      <c r="H127" s="106">
        <f t="shared" si="49"/>
        <v>204678.30490649998</v>
      </c>
      <c r="I127" s="106">
        <f t="shared" si="49"/>
        <v>884009.93834999995</v>
      </c>
      <c r="J127" s="106">
        <f t="shared" si="49"/>
        <v>2980328.5200000005</v>
      </c>
      <c r="K127" s="106">
        <f t="shared" si="49"/>
        <v>18368</v>
      </c>
      <c r="L127" s="106" t="e">
        <f>+L12+L22+L28+L33+L49+L96+L105+L115+#REF!+#REF!+L123</f>
        <v>#REF!</v>
      </c>
      <c r="M127" s="106"/>
      <c r="N127" s="106">
        <f>+N117+N125</f>
        <v>4057598.7467936277</v>
      </c>
      <c r="O127" s="106">
        <f>+O117+O125</f>
        <v>148391.1965337719</v>
      </c>
      <c r="P127" s="106">
        <f>+$P$12+$P$28+$P$33+$P$49+$P$96+$P$105+$P$115+$P$22+$P$43+$P$75+$P$17+$P$38+$P$55+$P$61+$P$67+P123</f>
        <v>8810546.0162018146</v>
      </c>
      <c r="Q127" s="67"/>
      <c r="R127" s="67"/>
    </row>
    <row r="128" spans="1:18">
      <c r="R128" s="36"/>
    </row>
    <row r="129" spans="1:19">
      <c r="D129" s="112"/>
      <c r="E129" s="113" t="s">
        <v>111</v>
      </c>
      <c r="F129" s="113" t="s">
        <v>112</v>
      </c>
      <c r="G129" s="113" t="s">
        <v>113</v>
      </c>
      <c r="H129" s="113" t="s">
        <v>114</v>
      </c>
      <c r="I129" s="113" t="s">
        <v>115</v>
      </c>
      <c r="J129" s="113" t="s">
        <v>119</v>
      </c>
      <c r="K129" s="113" t="s">
        <v>116</v>
      </c>
      <c r="L129" s="113" t="s">
        <v>57</v>
      </c>
      <c r="M129" s="113" t="s">
        <v>57</v>
      </c>
      <c r="N129" s="113"/>
      <c r="O129" s="113" t="s">
        <v>117</v>
      </c>
      <c r="P129" s="113" t="s">
        <v>118</v>
      </c>
      <c r="Q129" s="40"/>
      <c r="R129" s="68"/>
      <c r="S129" s="21"/>
    </row>
    <row r="130" spans="1:19">
      <c r="A130" s="119" t="s">
        <v>19</v>
      </c>
      <c r="B130" s="117"/>
      <c r="C130" s="120"/>
      <c r="D130" s="110" t="s">
        <v>3</v>
      </c>
      <c r="E130" s="108" t="s">
        <v>4</v>
      </c>
      <c r="F130" s="108" t="s">
        <v>5</v>
      </c>
      <c r="G130" s="108" t="s">
        <v>6</v>
      </c>
      <c r="H130" s="108" t="s">
        <v>7</v>
      </c>
      <c r="I130" s="108" t="s">
        <v>8</v>
      </c>
      <c r="J130" s="108" t="s">
        <v>9</v>
      </c>
      <c r="K130" s="108" t="s">
        <v>10</v>
      </c>
      <c r="L130" s="108" t="str">
        <f>+L3</f>
        <v>REDEMPTION</v>
      </c>
      <c r="M130" s="108" t="str">
        <f>+M3</f>
        <v>INTEREST</v>
      </c>
      <c r="N130" s="108" t="s">
        <v>13</v>
      </c>
      <c r="O130" s="108" t="s">
        <v>14</v>
      </c>
      <c r="P130" s="108" t="s">
        <v>15</v>
      </c>
      <c r="R130" s="36"/>
    </row>
    <row r="131" spans="1:19">
      <c r="A131" s="117" t="s">
        <v>20</v>
      </c>
      <c r="B131" s="117"/>
      <c r="C131" s="120"/>
      <c r="D131" s="114">
        <f>+MM!D34</f>
        <v>150000</v>
      </c>
      <c r="E131" s="115">
        <f>+MM!E34</f>
        <v>101883.77613928729</v>
      </c>
      <c r="F131" s="115">
        <f>+MM!F34</f>
        <v>0</v>
      </c>
      <c r="G131" s="115">
        <f>+MM!G34</f>
        <v>58880</v>
      </c>
      <c r="H131" s="115">
        <f>+MM!H34</f>
        <v>600</v>
      </c>
      <c r="I131" s="115">
        <f>+MM!I34</f>
        <v>344611.33520000003</v>
      </c>
      <c r="J131" s="115">
        <f>+MM!J34</f>
        <v>475250.76</v>
      </c>
      <c r="K131" s="115">
        <f>+MM!K34</f>
        <v>2895</v>
      </c>
      <c r="L131" s="115"/>
      <c r="M131" s="115">
        <f>+MM!M34</f>
        <v>0</v>
      </c>
      <c r="N131" s="115">
        <f>+MM!N34</f>
        <v>984120.87133928738</v>
      </c>
      <c r="O131" s="115">
        <f>+MM!O34</f>
        <v>35990.466959625788</v>
      </c>
      <c r="P131" s="115">
        <f>+MM!P34</f>
        <v>1020111.3382989132</v>
      </c>
      <c r="R131" s="36"/>
    </row>
    <row r="132" spans="1:19">
      <c r="A132" s="117" t="s">
        <v>50</v>
      </c>
      <c r="B132" s="117"/>
      <c r="C132" s="120"/>
      <c r="D132" s="114">
        <f>+finance!D15</f>
        <v>20000</v>
      </c>
      <c r="E132" s="116">
        <f>+finance!E15</f>
        <v>16666.666666666668</v>
      </c>
      <c r="F132" s="116">
        <f>+finance!F15</f>
        <v>2000</v>
      </c>
      <c r="G132" s="116">
        <f>+finance!G15</f>
        <v>2500</v>
      </c>
      <c r="H132" s="116">
        <f>+finance!H15</f>
        <v>6000</v>
      </c>
      <c r="I132" s="116">
        <f>+finance!I15</f>
        <v>0</v>
      </c>
      <c r="J132" s="116">
        <f>+finance!J15</f>
        <v>0</v>
      </c>
      <c r="K132" s="116">
        <f>+finance!K15</f>
        <v>275</v>
      </c>
      <c r="L132" s="116"/>
      <c r="M132" s="116">
        <f>+finance!M15</f>
        <v>0</v>
      </c>
      <c r="N132" s="116">
        <f>+finance!N15</f>
        <v>27441.666666666668</v>
      </c>
      <c r="O132" s="116">
        <f>+finance!O15</f>
        <v>1003.5742826383275</v>
      </c>
      <c r="P132" s="116">
        <f>+finance!P15</f>
        <v>28445.240949304996</v>
      </c>
      <c r="R132" s="36"/>
    </row>
    <row r="133" spans="1:19">
      <c r="A133" s="117" t="s">
        <v>51</v>
      </c>
      <c r="B133" s="117"/>
      <c r="C133" s="120"/>
      <c r="D133" s="114">
        <f>+workshop!D21</f>
        <v>27000</v>
      </c>
      <c r="E133" s="116">
        <f>+workshop!E21</f>
        <v>19629.54166481116</v>
      </c>
      <c r="F133" s="116">
        <f>+workshop!F21</f>
        <v>0</v>
      </c>
      <c r="G133" s="116">
        <f>+workshop!G21</f>
        <v>11000</v>
      </c>
      <c r="H133" s="116">
        <f>+workshop!H21</f>
        <v>200</v>
      </c>
      <c r="I133" s="116">
        <f>+workshop!I21</f>
        <v>50847.352500000001</v>
      </c>
      <c r="J133" s="116">
        <f>+workshop!J21</f>
        <v>100697.76000000001</v>
      </c>
      <c r="K133" s="116">
        <f>+workshop!K21</f>
        <v>712</v>
      </c>
      <c r="L133" s="116"/>
      <c r="M133" s="116">
        <f>+workshop!M21</f>
        <v>0</v>
      </c>
      <c r="N133" s="116">
        <f>+workshop!N21</f>
        <v>183086.65416481116</v>
      </c>
      <c r="O133" s="116">
        <f>+workshop!O21</f>
        <v>6695.6959956550945</v>
      </c>
      <c r="P133" s="116">
        <f>+workshop!P21</f>
        <v>189782.35016046627</v>
      </c>
      <c r="R133" s="36"/>
    </row>
    <row r="134" spans="1:19">
      <c r="A134" s="117" t="s">
        <v>43</v>
      </c>
      <c r="B134" s="117"/>
      <c r="C134" s="120"/>
      <c r="D134" s="114">
        <f>+'COMMUNITY SERV'!D143</f>
        <v>563800</v>
      </c>
      <c r="E134" s="116">
        <f>+'COMMUNITY SERV'!E143</f>
        <v>1238443.6412074575</v>
      </c>
      <c r="F134" s="116">
        <f>+'COMMUNITY SERV'!F143</f>
        <v>11703.865875</v>
      </c>
      <c r="G134" s="116">
        <f>+'COMMUNITY SERV'!G143</f>
        <v>269246.32</v>
      </c>
      <c r="H134" s="116">
        <f>+'COMMUNITY SERV'!H143</f>
        <v>134662.60740000001</v>
      </c>
      <c r="I134" s="116">
        <f>+'COMMUNITY SERV'!I143</f>
        <v>1705861.7599999998</v>
      </c>
      <c r="J134" s="116">
        <f>+'COMMUNITY SERV'!J143</f>
        <v>1899901.7999999998</v>
      </c>
      <c r="K134" s="116">
        <f>+'COMMUNITY SERV'!K143</f>
        <v>158689.68</v>
      </c>
      <c r="L134" s="116"/>
      <c r="M134" s="116">
        <f>+'COMMUNITY SERV'!M143</f>
        <v>0</v>
      </c>
      <c r="N134" s="116">
        <f>+'COMMUNITY SERV'!N143</f>
        <v>5418509.6744824573</v>
      </c>
      <c r="O134" s="116">
        <f>+'COMMUNITY SERV'!O143</f>
        <v>187795.15595876329</v>
      </c>
      <c r="P134" s="116">
        <f>+'COMMUNITY SERV'!P143</f>
        <v>5606304.8304412207</v>
      </c>
      <c r="R134" s="36"/>
    </row>
    <row r="135" spans="1:19" hidden="1">
      <c r="A135" s="117" t="s">
        <v>253</v>
      </c>
      <c r="B135" s="117"/>
      <c r="C135" s="120"/>
      <c r="D135" s="114"/>
      <c r="E135" s="116"/>
      <c r="F135" s="116"/>
      <c r="G135" s="116"/>
      <c r="H135" s="116"/>
      <c r="I135" s="116"/>
      <c r="J135" s="116"/>
      <c r="K135" s="116"/>
      <c r="L135" s="116"/>
      <c r="M135" s="116"/>
      <c r="N135" s="116"/>
      <c r="O135" s="116"/>
      <c r="P135" s="116"/>
      <c r="R135" s="36"/>
    </row>
    <row r="136" spans="1:19">
      <c r="A136" s="117" t="s">
        <v>21</v>
      </c>
      <c r="B136" s="117"/>
      <c r="C136" s="120"/>
      <c r="D136" s="114">
        <f>+EEM!D102</f>
        <v>633350</v>
      </c>
      <c r="E136" s="116">
        <f>+EEM!E102</f>
        <v>725988.10330808209</v>
      </c>
      <c r="F136" s="116">
        <f>+EEM!F102</f>
        <v>12800</v>
      </c>
      <c r="G136" s="116">
        <f>+EEM!G102</f>
        <v>141451.81</v>
      </c>
      <c r="H136" s="116">
        <f>+EEM!H102</f>
        <v>240810</v>
      </c>
      <c r="I136" s="116">
        <f>+EEM!I102</f>
        <v>1248780.3539999998</v>
      </c>
      <c r="J136" s="116">
        <f>+EEM!J102</f>
        <v>2745591.0000000005</v>
      </c>
      <c r="K136" s="116">
        <f>+EEM!K102</f>
        <v>39857</v>
      </c>
      <c r="L136" s="116"/>
      <c r="M136" s="116">
        <f>+EEM!M102</f>
        <v>0</v>
      </c>
      <c r="N136" s="116">
        <f>+EEM!N102</f>
        <v>4807978.2273080815</v>
      </c>
      <c r="O136" s="116">
        <f>+EEM!O102</f>
        <v>175833.46372589393</v>
      </c>
      <c r="P136" s="116">
        <f>+EEM!P102</f>
        <v>5478679.4683781229</v>
      </c>
      <c r="R136" s="36"/>
    </row>
    <row r="137" spans="1:19">
      <c r="A137" s="117" t="s">
        <v>22</v>
      </c>
      <c r="B137" s="117"/>
      <c r="C137" s="120"/>
      <c r="D137" s="114">
        <f>+D127</f>
        <v>276069</v>
      </c>
      <c r="E137" s="116">
        <f>+E127</f>
        <v>328992.10543537757</v>
      </c>
      <c r="F137" s="116">
        <f t="shared" ref="F137:P137" si="50">+F127</f>
        <v>27077.038101749997</v>
      </c>
      <c r="G137" s="116">
        <f t="shared" si="50"/>
        <v>150584.82999999999</v>
      </c>
      <c r="H137" s="116">
        <f t="shared" si="50"/>
        <v>204678.30490649998</v>
      </c>
      <c r="I137" s="116">
        <f t="shared" si="50"/>
        <v>884009.93834999995</v>
      </c>
      <c r="J137" s="116">
        <f t="shared" si="50"/>
        <v>2980328.5200000005</v>
      </c>
      <c r="K137" s="116">
        <f t="shared" si="50"/>
        <v>18368</v>
      </c>
      <c r="L137" s="116" t="e">
        <f t="shared" si="50"/>
        <v>#REF!</v>
      </c>
      <c r="M137" s="116">
        <f t="shared" si="50"/>
        <v>0</v>
      </c>
      <c r="N137" s="116">
        <f t="shared" si="50"/>
        <v>4057598.7467936277</v>
      </c>
      <c r="O137" s="116">
        <f t="shared" si="50"/>
        <v>148391.1965337719</v>
      </c>
      <c r="P137" s="116">
        <f t="shared" si="50"/>
        <v>8810546.0162018146</v>
      </c>
      <c r="R137" s="36"/>
    </row>
    <row r="138" spans="1:19">
      <c r="A138" s="117" t="s">
        <v>23</v>
      </c>
      <c r="B138" s="117"/>
      <c r="C138" s="120"/>
      <c r="D138" s="114">
        <f>+MDC!D97</f>
        <v>439650</v>
      </c>
      <c r="E138" s="116">
        <f>+MDC!E97</f>
        <v>964232.65645674255</v>
      </c>
      <c r="F138" s="116">
        <f>+MDC!F97</f>
        <v>11852.83333075</v>
      </c>
      <c r="G138" s="116">
        <f>+MDC!G97</f>
        <v>133180.35</v>
      </c>
      <c r="H138" s="116">
        <f>+MDC!H97</f>
        <v>58259.200166249997</v>
      </c>
      <c r="I138" s="116">
        <f>+MDC!I97</f>
        <v>686193.1875</v>
      </c>
      <c r="J138" s="116">
        <f>+MDC!J97</f>
        <v>1571910.3600000003</v>
      </c>
      <c r="K138" s="116">
        <f>+MDC!K97</f>
        <v>33186</v>
      </c>
      <c r="L138" s="116"/>
      <c r="M138" s="116">
        <f>+MDC!M97</f>
        <v>0</v>
      </c>
      <c r="N138" s="116">
        <f>+MDC!N97</f>
        <v>3458814.5874537416</v>
      </c>
      <c r="O138" s="116">
        <f>+MDC!O97</f>
        <v>126492.94995625404</v>
      </c>
      <c r="P138" s="116">
        <f>+MDC!P97</f>
        <v>3585307.5374099966</v>
      </c>
      <c r="R138" s="36"/>
    </row>
    <row r="139" spans="1:19">
      <c r="A139" s="117"/>
      <c r="B139" s="117"/>
      <c r="C139" s="120"/>
      <c r="D139" s="114"/>
      <c r="E139" s="117"/>
      <c r="F139" s="117"/>
      <c r="G139" s="117"/>
      <c r="H139" s="117"/>
      <c r="I139" s="117"/>
      <c r="J139" s="117"/>
      <c r="K139" s="117"/>
      <c r="L139" s="117"/>
      <c r="M139" s="117"/>
      <c r="N139" s="117"/>
      <c r="O139" s="117"/>
      <c r="P139" s="117"/>
      <c r="R139" s="36"/>
    </row>
    <row r="140" spans="1:19" s="30" customFormat="1">
      <c r="A140" s="108" t="s">
        <v>24</v>
      </c>
      <c r="B140" s="108"/>
      <c r="C140" s="109"/>
      <c r="D140" s="110">
        <f>SUM(D131:D139)</f>
        <v>2109869</v>
      </c>
      <c r="E140" s="118">
        <f t="shared" ref="E140:M140" si="51">SUM(E131:E139)</f>
        <v>3395836.4908784246</v>
      </c>
      <c r="F140" s="118">
        <f>SUM(F131:F139)</f>
        <v>65433.737307499992</v>
      </c>
      <c r="G140" s="118">
        <f t="shared" si="51"/>
        <v>766843.30999999994</v>
      </c>
      <c r="H140" s="118">
        <f t="shared" si="51"/>
        <v>645210.1124727499</v>
      </c>
      <c r="I140" s="118">
        <f t="shared" si="51"/>
        <v>4920303.9275499992</v>
      </c>
      <c r="J140" s="118">
        <f t="shared" si="51"/>
        <v>9773680.2000000011</v>
      </c>
      <c r="K140" s="118">
        <f t="shared" si="51"/>
        <v>253982.68</v>
      </c>
      <c r="L140" s="118"/>
      <c r="M140" s="118">
        <f t="shared" si="51"/>
        <v>0</v>
      </c>
      <c r="N140" s="118">
        <f>SUM(N131:N139)</f>
        <v>18937550.428208672</v>
      </c>
      <c r="O140" s="118">
        <f>SUM(O131:O139)</f>
        <v>682202.50341260247</v>
      </c>
      <c r="P140" s="118">
        <f>SUM(P131:P139)</f>
        <v>24719176.78183984</v>
      </c>
      <c r="Q140" s="69"/>
      <c r="R140" s="58"/>
    </row>
    <row r="141" spans="1:19" s="27" customFormat="1">
      <c r="C141" s="53"/>
      <c r="D141" s="53"/>
      <c r="R141" s="36"/>
    </row>
    <row r="142" spans="1:19" s="69" customFormat="1" hidden="1">
      <c r="C142" s="149"/>
      <c r="D142" s="149"/>
      <c r="N142" s="160">
        <f>12465019.09*1.06</f>
        <v>13212920.235400001</v>
      </c>
      <c r="P142" s="69">
        <f>+O140+N142</f>
        <v>13895122.738812603</v>
      </c>
      <c r="R142" s="58"/>
    </row>
    <row r="143" spans="1:19" hidden="1">
      <c r="N143" s="27">
        <f>+N142-N140</f>
        <v>-5724630.1928086709</v>
      </c>
      <c r="P143" s="27"/>
      <c r="R143" s="36"/>
    </row>
    <row r="144" spans="1:19">
      <c r="D144" s="29">
        <f>D140-D138</f>
        <v>1670219</v>
      </c>
      <c r="E144" s="46"/>
      <c r="N144" s="90"/>
      <c r="O144" s="85"/>
      <c r="P144" s="90"/>
      <c r="R144" s="36"/>
    </row>
    <row r="145" spans="5:18">
      <c r="E145" s="90"/>
      <c r="N145" s="27"/>
      <c r="R145" s="36"/>
    </row>
    <row r="146" spans="5:18">
      <c r="E146" s="46"/>
      <c r="N146" s="27"/>
      <c r="P146" s="90"/>
      <c r="R146" s="36"/>
    </row>
    <row r="147" spans="5:18">
      <c r="N147" s="27"/>
      <c r="R147" s="36"/>
    </row>
    <row r="148" spans="5:18">
      <c r="R148" s="36"/>
    </row>
    <row r="149" spans="5:18">
      <c r="R149" s="36"/>
    </row>
    <row r="150" spans="5:18">
      <c r="R150" s="36"/>
    </row>
    <row r="151" spans="5:18">
      <c r="R151" s="36"/>
    </row>
    <row r="152" spans="5:18">
      <c r="R152" s="36"/>
    </row>
    <row r="153" spans="5:18">
      <c r="R153" s="36"/>
    </row>
    <row r="154" spans="5:18">
      <c r="R154" s="36"/>
    </row>
    <row r="155" spans="5:18">
      <c r="R155" s="36"/>
    </row>
    <row r="156" spans="5:18">
      <c r="R156" s="36"/>
    </row>
    <row r="157" spans="5:18">
      <c r="R157" s="36"/>
    </row>
    <row r="158" spans="5:18">
      <c r="R158" s="36"/>
    </row>
    <row r="159" spans="5:18">
      <c r="R159" s="36"/>
    </row>
    <row r="160" spans="5:18">
      <c r="R160" s="36"/>
    </row>
    <row r="161" spans="18:18">
      <c r="R161" s="36"/>
    </row>
    <row r="162" spans="18:18">
      <c r="R162" s="36"/>
    </row>
    <row r="163" spans="18:18">
      <c r="R163" s="36"/>
    </row>
    <row r="164" spans="18:18">
      <c r="R164" s="36"/>
    </row>
    <row r="165" spans="18:18">
      <c r="R165" s="36"/>
    </row>
    <row r="166" spans="18:18">
      <c r="R166" s="36"/>
    </row>
    <row r="167" spans="18:18">
      <c r="R167" s="36"/>
    </row>
    <row r="168" spans="18:18">
      <c r="R168" s="36"/>
    </row>
    <row r="169" spans="18:18">
      <c r="R169" s="36"/>
    </row>
    <row r="170" spans="18:18">
      <c r="R170" s="36"/>
    </row>
    <row r="171" spans="18:18">
      <c r="R171" s="36"/>
    </row>
    <row r="172" spans="18:18">
      <c r="R172" s="36"/>
    </row>
    <row r="173" spans="18:18">
      <c r="R173" s="36"/>
    </row>
    <row r="174" spans="18:18">
      <c r="R174" s="36"/>
    </row>
    <row r="175" spans="18:18">
      <c r="R175" s="36"/>
    </row>
    <row r="176" spans="18:18">
      <c r="R176" s="36"/>
    </row>
    <row r="177" spans="18:18">
      <c r="R177" s="36"/>
    </row>
    <row r="178" spans="18:18">
      <c r="R178" s="36"/>
    </row>
    <row r="179" spans="18:18">
      <c r="R179" s="36"/>
    </row>
    <row r="180" spans="18:18">
      <c r="R180" s="36"/>
    </row>
    <row r="181" spans="18:18">
      <c r="R181" s="36"/>
    </row>
    <row r="182" spans="18:18">
      <c r="R182" s="36"/>
    </row>
    <row r="183" spans="18:18">
      <c r="R183" s="36"/>
    </row>
    <row r="184" spans="18:18">
      <c r="R184" s="36"/>
    </row>
    <row r="185" spans="18:18">
      <c r="R185" s="36"/>
    </row>
    <row r="186" spans="18:18">
      <c r="R186" s="36"/>
    </row>
    <row r="187" spans="18:18">
      <c r="R187" s="36"/>
    </row>
    <row r="188" spans="18:18">
      <c r="R188" s="36"/>
    </row>
    <row r="189" spans="18:18">
      <c r="R189" s="36"/>
    </row>
    <row r="190" spans="18:18">
      <c r="R190" s="36"/>
    </row>
    <row r="191" spans="18:18">
      <c r="R191" s="36"/>
    </row>
    <row r="192" spans="18:18">
      <c r="R192" s="36"/>
    </row>
    <row r="193" spans="18:18">
      <c r="R193" s="36"/>
    </row>
    <row r="194" spans="18:18">
      <c r="R194" s="36"/>
    </row>
    <row r="195" spans="18:18">
      <c r="R195" s="36"/>
    </row>
    <row r="196" spans="18:18">
      <c r="R196" s="36"/>
    </row>
    <row r="197" spans="18:18">
      <c r="R197" s="36"/>
    </row>
    <row r="198" spans="18:18">
      <c r="R198" s="36"/>
    </row>
    <row r="199" spans="18:18">
      <c r="R199" s="36"/>
    </row>
    <row r="200" spans="18:18">
      <c r="R200" s="36"/>
    </row>
    <row r="201" spans="18:18">
      <c r="R201" s="36"/>
    </row>
    <row r="202" spans="18:18">
      <c r="R202" s="36"/>
    </row>
    <row r="203" spans="18:18">
      <c r="R203" s="36"/>
    </row>
    <row r="204" spans="18:18">
      <c r="R204" s="36"/>
    </row>
    <row r="205" spans="18:18">
      <c r="R205" s="36"/>
    </row>
    <row r="206" spans="18:18">
      <c r="R206" s="36"/>
    </row>
    <row r="207" spans="18:18">
      <c r="R207" s="36"/>
    </row>
    <row r="208" spans="18:18">
      <c r="R208" s="36"/>
    </row>
    <row r="209" spans="18:18">
      <c r="R209" s="36"/>
    </row>
    <row r="210" spans="18:18">
      <c r="R210" s="36"/>
    </row>
    <row r="211" spans="18:18">
      <c r="R211" s="36"/>
    </row>
    <row r="212" spans="18:18">
      <c r="R212" s="36"/>
    </row>
    <row r="213" spans="18:18">
      <c r="R213" s="36"/>
    </row>
    <row r="214" spans="18:18">
      <c r="R214" s="36"/>
    </row>
    <row r="215" spans="18:18">
      <c r="R215" s="36"/>
    </row>
    <row r="216" spans="18:18">
      <c r="R216" s="36"/>
    </row>
    <row r="217" spans="18:18">
      <c r="R217" s="36"/>
    </row>
    <row r="218" spans="18:18">
      <c r="R218" s="36"/>
    </row>
    <row r="219" spans="18:18">
      <c r="R219" s="36"/>
    </row>
    <row r="220" spans="18:18">
      <c r="R220" s="36"/>
    </row>
    <row r="221" spans="18:18">
      <c r="R221" s="36"/>
    </row>
    <row r="222" spans="18:18">
      <c r="R222" s="36"/>
    </row>
    <row r="223" spans="18:18">
      <c r="R223" s="36"/>
    </row>
    <row r="224" spans="18:18">
      <c r="R224" s="36"/>
    </row>
    <row r="225" spans="18:18">
      <c r="R225" s="36"/>
    </row>
    <row r="226" spans="18:18">
      <c r="R226" s="36"/>
    </row>
    <row r="227" spans="18:18">
      <c r="R227" s="36"/>
    </row>
    <row r="228" spans="18:18">
      <c r="R228" s="36"/>
    </row>
    <row r="229" spans="18:18">
      <c r="R229" s="36"/>
    </row>
    <row r="230" spans="18:18">
      <c r="R230" s="36"/>
    </row>
    <row r="231" spans="18:18">
      <c r="R231" s="36"/>
    </row>
    <row r="232" spans="18:18">
      <c r="R232" s="36"/>
    </row>
    <row r="233" spans="18:18">
      <c r="R233" s="36"/>
    </row>
    <row r="234" spans="18:18">
      <c r="R234" s="36"/>
    </row>
    <row r="235" spans="18:18">
      <c r="R235" s="36"/>
    </row>
    <row r="236" spans="18:18">
      <c r="R236" s="36"/>
    </row>
    <row r="237" spans="18:18">
      <c r="R237" s="36"/>
    </row>
    <row r="238" spans="18:18">
      <c r="R238" s="36"/>
    </row>
    <row r="239" spans="18:18">
      <c r="R239" s="36"/>
    </row>
    <row r="240" spans="18:18">
      <c r="R240" s="36"/>
    </row>
    <row r="241" spans="18:18">
      <c r="R241" s="36"/>
    </row>
    <row r="242" spans="18:18">
      <c r="R242" s="36"/>
    </row>
    <row r="243" spans="18:18">
      <c r="R243" s="36"/>
    </row>
    <row r="244" spans="18:18">
      <c r="R244" s="36"/>
    </row>
    <row r="245" spans="18:18">
      <c r="R245" s="36"/>
    </row>
    <row r="246" spans="18:18">
      <c r="R246" s="36"/>
    </row>
    <row r="247" spans="18:18">
      <c r="R247" s="36"/>
    </row>
    <row r="248" spans="18:18">
      <c r="R248" s="36"/>
    </row>
    <row r="249" spans="18:18">
      <c r="R249" s="36"/>
    </row>
    <row r="250" spans="18:18">
      <c r="R250" s="36"/>
    </row>
    <row r="251" spans="18:18">
      <c r="R251" s="36"/>
    </row>
    <row r="252" spans="18:18">
      <c r="R252" s="36"/>
    </row>
    <row r="253" spans="18:18">
      <c r="R253" s="36"/>
    </row>
    <row r="254" spans="18:18">
      <c r="R254" s="36"/>
    </row>
    <row r="255" spans="18:18">
      <c r="R255" s="36"/>
    </row>
    <row r="256" spans="18:18">
      <c r="R256" s="36"/>
    </row>
    <row r="257" spans="18:18">
      <c r="R257" s="36"/>
    </row>
    <row r="258" spans="18:18">
      <c r="R258" s="36"/>
    </row>
    <row r="259" spans="18:18">
      <c r="R259" s="36"/>
    </row>
    <row r="260" spans="18:18">
      <c r="R260" s="36"/>
    </row>
    <row r="261" spans="18:18">
      <c r="R261" s="36"/>
    </row>
    <row r="262" spans="18:18">
      <c r="R262" s="36"/>
    </row>
    <row r="263" spans="18:18">
      <c r="R263" s="36"/>
    </row>
    <row r="264" spans="18:18">
      <c r="R264" s="36"/>
    </row>
    <row r="265" spans="18:18">
      <c r="R265" s="36"/>
    </row>
    <row r="266" spans="18:18">
      <c r="R266" s="36"/>
    </row>
    <row r="267" spans="18:18">
      <c r="R267" s="36"/>
    </row>
    <row r="268" spans="18:18">
      <c r="R268" s="36"/>
    </row>
    <row r="269" spans="18:18">
      <c r="R269" s="36"/>
    </row>
    <row r="270" spans="18:18">
      <c r="R270" s="36"/>
    </row>
    <row r="271" spans="18:18">
      <c r="R271" s="36"/>
    </row>
    <row r="272" spans="18:18">
      <c r="R272" s="36"/>
    </row>
    <row r="273" spans="18:18">
      <c r="R273" s="36"/>
    </row>
    <row r="274" spans="18:18">
      <c r="R274" s="36"/>
    </row>
    <row r="275" spans="18:18">
      <c r="R275" s="36"/>
    </row>
    <row r="276" spans="18:18">
      <c r="R276" s="36"/>
    </row>
    <row r="277" spans="18:18">
      <c r="R277" s="36"/>
    </row>
    <row r="278" spans="18:18">
      <c r="R278" s="36"/>
    </row>
    <row r="279" spans="18:18">
      <c r="R279" s="36"/>
    </row>
    <row r="280" spans="18:18">
      <c r="R280" s="36"/>
    </row>
    <row r="281" spans="18:18">
      <c r="R281" s="36"/>
    </row>
    <row r="282" spans="18:18">
      <c r="R282" s="36"/>
    </row>
    <row r="283" spans="18:18">
      <c r="R283" s="36"/>
    </row>
    <row r="284" spans="18:18">
      <c r="R284" s="36"/>
    </row>
    <row r="285" spans="18:18">
      <c r="R285" s="36"/>
    </row>
    <row r="286" spans="18:18">
      <c r="R286" s="36"/>
    </row>
    <row r="287" spans="18:18">
      <c r="R287" s="36"/>
    </row>
    <row r="288" spans="18:18">
      <c r="R288" s="36"/>
    </row>
    <row r="289" spans="18:18">
      <c r="R289" s="36"/>
    </row>
    <row r="290" spans="18:18">
      <c r="R290" s="36"/>
    </row>
    <row r="291" spans="18:18">
      <c r="R291" s="36"/>
    </row>
    <row r="292" spans="18:18">
      <c r="R292" s="36"/>
    </row>
    <row r="293" spans="18:18">
      <c r="R293" s="36"/>
    </row>
    <row r="294" spans="18:18">
      <c r="R294" s="36"/>
    </row>
    <row r="295" spans="18:18">
      <c r="R295" s="36"/>
    </row>
    <row r="296" spans="18:18">
      <c r="R296" s="36"/>
    </row>
    <row r="297" spans="18:18">
      <c r="R297" s="36"/>
    </row>
    <row r="298" spans="18:18">
      <c r="R298" s="36"/>
    </row>
    <row r="299" spans="18:18">
      <c r="R299" s="36"/>
    </row>
    <row r="300" spans="18:18">
      <c r="R300" s="36"/>
    </row>
    <row r="301" spans="18:18">
      <c r="R301" s="36"/>
    </row>
    <row r="302" spans="18:18">
      <c r="R302" s="36"/>
    </row>
    <row r="303" spans="18:18">
      <c r="R303" s="36"/>
    </row>
    <row r="304" spans="18:18">
      <c r="R304" s="36"/>
    </row>
    <row r="305" spans="18:18">
      <c r="R305" s="36"/>
    </row>
    <row r="306" spans="18:18">
      <c r="R306" s="36"/>
    </row>
    <row r="307" spans="18:18">
      <c r="R307" s="36"/>
    </row>
    <row r="308" spans="18:18">
      <c r="R308" s="36"/>
    </row>
    <row r="309" spans="18:18">
      <c r="R309" s="36"/>
    </row>
    <row r="310" spans="18:18">
      <c r="R310" s="36"/>
    </row>
    <row r="311" spans="18:18">
      <c r="R311" s="36"/>
    </row>
    <row r="312" spans="18:18">
      <c r="R312" s="36"/>
    </row>
    <row r="313" spans="18:18">
      <c r="R313" s="36"/>
    </row>
    <row r="314" spans="18:18">
      <c r="R314" s="36"/>
    </row>
    <row r="315" spans="18:18">
      <c r="R315" s="36"/>
    </row>
    <row r="316" spans="18:18">
      <c r="R316" s="36"/>
    </row>
    <row r="317" spans="18:18">
      <c r="R317" s="36"/>
    </row>
    <row r="318" spans="18:18">
      <c r="R318" s="36"/>
    </row>
    <row r="319" spans="18:18">
      <c r="R319" s="36"/>
    </row>
    <row r="320" spans="18:18">
      <c r="R320" s="36"/>
    </row>
    <row r="321" spans="18:18">
      <c r="R321" s="36"/>
    </row>
    <row r="322" spans="18:18">
      <c r="R322" s="36"/>
    </row>
    <row r="323" spans="18:18">
      <c r="R323" s="36"/>
    </row>
    <row r="324" spans="18:18">
      <c r="R324" s="36"/>
    </row>
    <row r="325" spans="18:18">
      <c r="R325" s="36"/>
    </row>
    <row r="326" spans="18:18">
      <c r="R326" s="36"/>
    </row>
    <row r="327" spans="18:18">
      <c r="R327" s="36"/>
    </row>
    <row r="328" spans="18:18">
      <c r="R328" s="36"/>
    </row>
    <row r="329" spans="18:18">
      <c r="R329" s="36"/>
    </row>
    <row r="330" spans="18:18">
      <c r="R330" s="36"/>
    </row>
    <row r="331" spans="18:18">
      <c r="R331" s="36"/>
    </row>
    <row r="332" spans="18:18">
      <c r="R332" s="36"/>
    </row>
    <row r="333" spans="18:18">
      <c r="R333" s="36"/>
    </row>
    <row r="334" spans="18:18">
      <c r="R334" s="36"/>
    </row>
    <row r="335" spans="18:18">
      <c r="R335" s="36"/>
    </row>
    <row r="336" spans="18:18">
      <c r="R336" s="36"/>
    </row>
    <row r="337" spans="18:18">
      <c r="R337" s="36"/>
    </row>
    <row r="338" spans="18:18">
      <c r="R338" s="36"/>
    </row>
    <row r="339" spans="18:18">
      <c r="R339" s="36"/>
    </row>
    <row r="340" spans="18:18">
      <c r="R340" s="36"/>
    </row>
    <row r="341" spans="18:18">
      <c r="R341" s="36"/>
    </row>
    <row r="342" spans="18:18">
      <c r="R342" s="36"/>
    </row>
    <row r="343" spans="18:18">
      <c r="R343" s="36"/>
    </row>
    <row r="344" spans="18:18">
      <c r="R344" s="36"/>
    </row>
    <row r="345" spans="18:18">
      <c r="R345" s="36"/>
    </row>
    <row r="346" spans="18:18">
      <c r="R346" s="36"/>
    </row>
    <row r="347" spans="18:18">
      <c r="R347" s="36"/>
    </row>
    <row r="348" spans="18:18">
      <c r="R348" s="36"/>
    </row>
    <row r="349" spans="18:18">
      <c r="R349" s="36"/>
    </row>
    <row r="350" spans="18:18">
      <c r="R350" s="36"/>
    </row>
    <row r="351" spans="18:18">
      <c r="R351" s="36"/>
    </row>
    <row r="352" spans="18:18">
      <c r="R352" s="36"/>
    </row>
    <row r="353" spans="18:18">
      <c r="R353" s="36"/>
    </row>
    <row r="354" spans="18:18">
      <c r="R354" s="36"/>
    </row>
    <row r="355" spans="18:18">
      <c r="R355" s="36"/>
    </row>
    <row r="356" spans="18:18">
      <c r="R356" s="36"/>
    </row>
    <row r="357" spans="18:18">
      <c r="R357" s="36"/>
    </row>
    <row r="358" spans="18:18">
      <c r="R358" s="36"/>
    </row>
    <row r="359" spans="18:18">
      <c r="R359" s="36"/>
    </row>
    <row r="360" spans="18:18">
      <c r="R360" s="36"/>
    </row>
    <row r="361" spans="18:18">
      <c r="R361" s="36"/>
    </row>
    <row r="362" spans="18:18">
      <c r="R362" s="36"/>
    </row>
    <row r="363" spans="18:18">
      <c r="R363" s="36"/>
    </row>
    <row r="364" spans="18:18">
      <c r="R364" s="36"/>
    </row>
    <row r="365" spans="18:18">
      <c r="R365" s="36"/>
    </row>
    <row r="366" spans="18:18">
      <c r="R366" s="36"/>
    </row>
    <row r="367" spans="18:18">
      <c r="R367" s="36"/>
    </row>
    <row r="368" spans="18:18">
      <c r="R368" s="36"/>
    </row>
    <row r="369" spans="18:18">
      <c r="R369" s="36"/>
    </row>
    <row r="370" spans="18:18">
      <c r="R370" s="36"/>
    </row>
    <row r="371" spans="18:18">
      <c r="R371" s="36"/>
    </row>
    <row r="372" spans="18:18">
      <c r="R372" s="36"/>
    </row>
    <row r="373" spans="18:18">
      <c r="R373" s="36"/>
    </row>
    <row r="374" spans="18:18">
      <c r="R374" s="36"/>
    </row>
    <row r="375" spans="18:18">
      <c r="R375" s="36"/>
    </row>
    <row r="376" spans="18:18">
      <c r="R376" s="36"/>
    </row>
    <row r="377" spans="18:18">
      <c r="R377" s="36"/>
    </row>
    <row r="378" spans="18:18">
      <c r="R378" s="36"/>
    </row>
    <row r="379" spans="18:18">
      <c r="R379" s="36"/>
    </row>
    <row r="380" spans="18:18">
      <c r="R380" s="36"/>
    </row>
    <row r="381" spans="18:18">
      <c r="R381" s="36"/>
    </row>
    <row r="382" spans="18:18">
      <c r="R382" s="36"/>
    </row>
    <row r="383" spans="18:18">
      <c r="R383" s="36"/>
    </row>
    <row r="384" spans="18:18">
      <c r="R384" s="36"/>
    </row>
    <row r="385" spans="18:18">
      <c r="R385" s="36"/>
    </row>
    <row r="386" spans="18:18">
      <c r="R386" s="36"/>
    </row>
    <row r="387" spans="18:18">
      <c r="R387" s="36"/>
    </row>
    <row r="388" spans="18:18">
      <c r="R388" s="36"/>
    </row>
    <row r="389" spans="18:18">
      <c r="R389" s="36"/>
    </row>
    <row r="390" spans="18:18">
      <c r="R390" s="36"/>
    </row>
    <row r="391" spans="18:18">
      <c r="R391" s="36"/>
    </row>
    <row r="392" spans="18:18">
      <c r="R392" s="36"/>
    </row>
    <row r="393" spans="18:18">
      <c r="R393" s="36"/>
    </row>
    <row r="394" spans="18:18">
      <c r="R394" s="36"/>
    </row>
  </sheetData>
  <mergeCells count="16">
    <mergeCell ref="D119:F119"/>
    <mergeCell ref="D107:F107"/>
    <mergeCell ref="D5:F5"/>
    <mergeCell ref="D30:F30"/>
    <mergeCell ref="D45:F45"/>
    <mergeCell ref="D78:F78"/>
    <mergeCell ref="D101:F101"/>
    <mergeCell ref="D40:F40"/>
    <mergeCell ref="D19:F19"/>
    <mergeCell ref="D24:F24"/>
    <mergeCell ref="D35:F35"/>
    <mergeCell ref="D51:F51"/>
    <mergeCell ref="D57:F57"/>
    <mergeCell ref="D63:F63"/>
    <mergeCell ref="D69:F69"/>
    <mergeCell ref="D14:F14"/>
  </mergeCells>
  <phoneticPr fontId="0" type="noConversion"/>
  <pageMargins left="0.39370078740157483" right="0" top="0.39370078740157483" bottom="0" header="0" footer="0"/>
  <pageSetup paperSize="8" scale="35" orientation="landscape" r:id="rId1"/>
  <headerFooter alignWithMargins="0"/>
  <rowBreaks count="1" manualBreakCount="1">
    <brk id="76" max="1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3" enableFormatConditionsCalculation="0">
    <tabColor indexed="61"/>
  </sheetPr>
  <dimension ref="A1:U140"/>
  <sheetViews>
    <sheetView zoomScale="90" zoomScaleNormal="90" zoomScaleSheetLayoutView="100" workbookViewId="0">
      <pane xSplit="3" ySplit="3" topLeftCell="D64" activePane="bottomRight" state="frozen"/>
      <selection activeCell="J41" sqref="J41"/>
      <selection pane="topRight" activeCell="J41" sqref="J41"/>
      <selection pane="bottomLeft" activeCell="J41" sqref="J41"/>
      <selection pane="bottomRight" activeCell="J97" sqref="J97"/>
    </sheetView>
  </sheetViews>
  <sheetFormatPr defaultColWidth="10" defaultRowHeight="11.25"/>
  <cols>
    <col min="1" max="1" width="12.42578125" style="2" customWidth="1"/>
    <col min="2" max="2" width="17.42578125" style="2" customWidth="1"/>
    <col min="3" max="3" width="4.42578125" style="10" bestFit="1" customWidth="1"/>
    <col min="4" max="4" width="9.28515625" style="29" bestFit="1" customWidth="1"/>
    <col min="5" max="5" width="14.140625" style="2" bestFit="1" customWidth="1"/>
    <col min="6" max="6" width="11.28515625" style="2" bestFit="1" customWidth="1"/>
    <col min="7" max="7" width="12" style="2" bestFit="1" customWidth="1"/>
    <col min="8" max="8" width="11.28515625" style="2" bestFit="1" customWidth="1"/>
    <col min="9" max="9" width="13.42578125" style="2" bestFit="1" customWidth="1"/>
    <col min="10" max="10" width="14" style="2" bestFit="1" customWidth="1"/>
    <col min="11" max="11" width="11.28515625" style="2" bestFit="1" customWidth="1"/>
    <col min="12" max="12" width="12.42578125" style="2" hidden="1" customWidth="1"/>
    <col min="13" max="13" width="10.28515625" style="2" hidden="1" customWidth="1"/>
    <col min="14" max="14" width="14" style="2" bestFit="1" customWidth="1"/>
    <col min="15" max="15" width="12" style="2" bestFit="1" customWidth="1"/>
    <col min="16" max="16" width="14" style="2" bestFit="1" customWidth="1"/>
    <col min="17" max="17" width="7.85546875" style="27" hidden="1" customWidth="1"/>
    <col min="18" max="18" width="8.85546875" style="53" bestFit="1" customWidth="1"/>
    <col min="19" max="16384" width="10" style="2"/>
  </cols>
  <sheetData>
    <row r="1" spans="1:21">
      <c r="A1" s="30" t="s">
        <v>278</v>
      </c>
      <c r="D1" s="29" t="s">
        <v>23</v>
      </c>
    </row>
    <row r="3" spans="1:21" s="312" customFormat="1" ht="18">
      <c r="A3" s="304" t="s">
        <v>0</v>
      </c>
      <c r="B3" s="304" t="s">
        <v>1</v>
      </c>
      <c r="C3" s="305" t="s">
        <v>2</v>
      </c>
      <c r="D3" s="306" t="s">
        <v>3</v>
      </c>
      <c r="E3" s="307" t="s">
        <v>191</v>
      </c>
      <c r="F3" s="307" t="s">
        <v>192</v>
      </c>
      <c r="G3" s="307" t="s">
        <v>193</v>
      </c>
      <c r="H3" s="307" t="s">
        <v>194</v>
      </c>
      <c r="I3" s="307" t="s">
        <v>199</v>
      </c>
      <c r="J3" s="307" t="s">
        <v>195</v>
      </c>
      <c r="K3" s="307" t="s">
        <v>196</v>
      </c>
      <c r="L3" s="308" t="str">
        <f>+MM!L3</f>
        <v>REDEMPTION</v>
      </c>
      <c r="M3" s="308" t="str">
        <f>+MM!M3</f>
        <v>INTEREST</v>
      </c>
      <c r="N3" s="309" t="s">
        <v>13</v>
      </c>
      <c r="O3" s="307" t="s">
        <v>198</v>
      </c>
      <c r="P3" s="307" t="s">
        <v>197</v>
      </c>
      <c r="Q3" s="310" t="s">
        <v>89</v>
      </c>
      <c r="R3" s="311" t="s">
        <v>12</v>
      </c>
    </row>
    <row r="4" spans="1:21" s="19" customFormat="1" ht="12" thickBot="1">
      <c r="A4" s="89"/>
      <c r="B4" s="89"/>
      <c r="C4" s="124"/>
      <c r="D4" s="125"/>
      <c r="E4" s="126"/>
      <c r="F4" s="126"/>
      <c r="G4" s="126"/>
      <c r="H4" s="126"/>
      <c r="I4" s="126"/>
      <c r="J4" s="126"/>
      <c r="K4" s="126"/>
      <c r="L4" s="126"/>
      <c r="M4" s="126"/>
      <c r="N4" s="89"/>
      <c r="O4" s="126"/>
      <c r="P4" s="126"/>
      <c r="Q4" s="40"/>
      <c r="R4" s="68"/>
    </row>
    <row r="5" spans="1:21" ht="12" thickBot="1">
      <c r="A5" s="97" t="s">
        <v>11</v>
      </c>
      <c r="B5" s="98" t="s">
        <v>698</v>
      </c>
      <c r="D5" s="381" t="s">
        <v>279</v>
      </c>
      <c r="E5" s="382"/>
      <c r="F5" s="383"/>
      <c r="R5" s="36"/>
      <c r="S5" s="21"/>
      <c r="T5" s="21"/>
      <c r="U5" s="21"/>
    </row>
    <row r="6" spans="1:21">
      <c r="R6" s="36"/>
      <c r="S6" s="21"/>
      <c r="T6" s="21"/>
      <c r="U6" s="21"/>
    </row>
    <row r="7" spans="1:21" s="18" customFormat="1">
      <c r="A7" s="87"/>
      <c r="B7" s="87" t="s">
        <v>356</v>
      </c>
      <c r="C7" s="78">
        <v>273</v>
      </c>
      <c r="D7" s="70">
        <v>20000</v>
      </c>
      <c r="E7" s="88">
        <f>+D7/Q7*(CALC!$A$4)</f>
        <v>14992.503748125937</v>
      </c>
      <c r="F7" s="61">
        <v>0</v>
      </c>
      <c r="G7" s="61">
        <v>5482</v>
      </c>
      <c r="H7" s="61">
        <v>0</v>
      </c>
      <c r="I7" s="61">
        <f>0.75*27293.89</f>
        <v>20470.4175</v>
      </c>
      <c r="J7" s="61">
        <v>41245.08</v>
      </c>
      <c r="K7" s="61">
        <v>636</v>
      </c>
      <c r="L7" s="61"/>
      <c r="M7" s="61"/>
      <c r="N7" s="61">
        <f>SUM(E7:M7)</f>
        <v>82826.001248125933</v>
      </c>
      <c r="O7" s="56">
        <f>N7/CALC!$A$8*CALC!$A$6</f>
        <v>3029.0450575058317</v>
      </c>
      <c r="P7" s="61">
        <f>+N7+O7</f>
        <v>85855.046305631768</v>
      </c>
      <c r="Q7" s="72">
        <v>6.67</v>
      </c>
      <c r="R7" s="73"/>
      <c r="S7" s="41"/>
      <c r="T7" s="41"/>
      <c r="U7" s="41"/>
    </row>
    <row r="8" spans="1:21" s="18" customFormat="1">
      <c r="A8" s="87"/>
      <c r="B8" s="87" t="s">
        <v>357</v>
      </c>
      <c r="C8" s="78">
        <v>274</v>
      </c>
      <c r="D8" s="70">
        <v>30000</v>
      </c>
      <c r="E8" s="88">
        <f>+D8/Q8*(CALC!$A$4)</f>
        <v>22488.755622188906</v>
      </c>
      <c r="F8" s="61">
        <v>0</v>
      </c>
      <c r="G8" s="61">
        <v>5482</v>
      </c>
      <c r="H8" s="61">
        <v>0</v>
      </c>
      <c r="I8" s="61">
        <f t="shared" ref="I8:I16" si="0">0.75*27293.89</f>
        <v>20470.4175</v>
      </c>
      <c r="J8" s="61">
        <v>41245.08</v>
      </c>
      <c r="K8" s="61">
        <v>636</v>
      </c>
      <c r="L8" s="61"/>
      <c r="M8" s="61"/>
      <c r="N8" s="61">
        <f t="shared" ref="N8:N14" si="1">SUM(E8:M8)</f>
        <v>90322.253122188908</v>
      </c>
      <c r="O8" s="56">
        <f>N8/CALC!$A$8*CALC!$A$6</f>
        <v>3303.1918754951048</v>
      </c>
      <c r="P8" s="61">
        <f t="shared" ref="P8:P14" si="2">+N8+O8</f>
        <v>93625.444997684011</v>
      </c>
      <c r="Q8" s="72">
        <v>6.67</v>
      </c>
      <c r="R8" s="73"/>
      <c r="S8" s="41"/>
      <c r="T8" s="41"/>
      <c r="U8" s="41"/>
    </row>
    <row r="9" spans="1:21" s="18" customFormat="1">
      <c r="A9" s="87"/>
      <c r="B9" s="87" t="s">
        <v>358</v>
      </c>
      <c r="C9" s="78">
        <v>275</v>
      </c>
      <c r="D9" s="70">
        <v>30000</v>
      </c>
      <c r="E9" s="88">
        <f>+D9/Q9*(CALC!$A$4)</f>
        <v>22488.755622188906</v>
      </c>
      <c r="F9" s="61">
        <v>0</v>
      </c>
      <c r="G9" s="61">
        <v>5482</v>
      </c>
      <c r="H9" s="61">
        <v>0</v>
      </c>
      <c r="I9" s="61">
        <f t="shared" si="0"/>
        <v>20470.4175</v>
      </c>
      <c r="J9" s="61">
        <v>41245.08</v>
      </c>
      <c r="K9" s="61">
        <v>636</v>
      </c>
      <c r="L9" s="61"/>
      <c r="M9" s="61"/>
      <c r="N9" s="61">
        <f t="shared" si="1"/>
        <v>90322.253122188908</v>
      </c>
      <c r="O9" s="56">
        <f>N9/CALC!$A$8*CALC!$A$6</f>
        <v>3303.1918754951048</v>
      </c>
      <c r="P9" s="61">
        <f t="shared" si="2"/>
        <v>93625.444997684011</v>
      </c>
      <c r="Q9" s="72">
        <v>6.67</v>
      </c>
      <c r="R9" s="73"/>
      <c r="S9" s="41"/>
      <c r="T9" s="41"/>
      <c r="U9" s="41"/>
    </row>
    <row r="10" spans="1:21" s="18" customFormat="1">
      <c r="A10" s="87"/>
      <c r="B10" s="87" t="s">
        <v>359</v>
      </c>
      <c r="C10" s="78">
        <v>276</v>
      </c>
      <c r="D10" s="70">
        <v>30000</v>
      </c>
      <c r="E10" s="88">
        <f>+D10/Q10*(CALC!$A$4)</f>
        <v>22488.755622188906</v>
      </c>
      <c r="F10" s="61">
        <v>0</v>
      </c>
      <c r="G10" s="61">
        <v>5482</v>
      </c>
      <c r="H10" s="61">
        <v>0</v>
      </c>
      <c r="I10" s="61">
        <f t="shared" si="0"/>
        <v>20470.4175</v>
      </c>
      <c r="J10" s="61">
        <v>41245.08</v>
      </c>
      <c r="K10" s="61">
        <v>636</v>
      </c>
      <c r="L10" s="61"/>
      <c r="M10" s="61"/>
      <c r="N10" s="61">
        <f t="shared" si="1"/>
        <v>90322.253122188908</v>
      </c>
      <c r="O10" s="56">
        <f>N10/CALC!$A$8*CALC!$A$6</f>
        <v>3303.1918754951048</v>
      </c>
      <c r="P10" s="61">
        <f t="shared" si="2"/>
        <v>93625.444997684011</v>
      </c>
      <c r="Q10" s="72">
        <v>6.67</v>
      </c>
      <c r="R10" s="73"/>
      <c r="S10" s="41"/>
      <c r="T10" s="41"/>
      <c r="U10" s="41"/>
    </row>
    <row r="11" spans="1:21" s="18" customFormat="1">
      <c r="A11" s="87"/>
      <c r="B11" s="87" t="s">
        <v>360</v>
      </c>
      <c r="C11" s="78">
        <v>277</v>
      </c>
      <c r="D11" s="70">
        <v>30000</v>
      </c>
      <c r="E11" s="88">
        <f>+D11/Q11*(CALC!$A$4)</f>
        <v>22488.755622188906</v>
      </c>
      <c r="F11" s="61">
        <v>0</v>
      </c>
      <c r="G11" s="61">
        <v>5482</v>
      </c>
      <c r="H11" s="61">
        <v>0</v>
      </c>
      <c r="I11" s="61">
        <f t="shared" si="0"/>
        <v>20470.4175</v>
      </c>
      <c r="J11" s="61">
        <v>41245.08</v>
      </c>
      <c r="K11" s="61">
        <v>636</v>
      </c>
      <c r="L11" s="61"/>
      <c r="M11" s="61"/>
      <c r="N11" s="61">
        <f t="shared" si="1"/>
        <v>90322.253122188908</v>
      </c>
      <c r="O11" s="56">
        <f>N11/CALC!$A$8*CALC!$A$6</f>
        <v>3303.1918754951048</v>
      </c>
      <c r="P11" s="61">
        <f t="shared" si="2"/>
        <v>93625.444997684011</v>
      </c>
      <c r="Q11" s="72">
        <v>6.67</v>
      </c>
      <c r="R11" s="73"/>
      <c r="S11" s="41"/>
      <c r="T11" s="41"/>
      <c r="U11" s="41"/>
    </row>
    <row r="12" spans="1:21" s="18" customFormat="1">
      <c r="A12" s="87"/>
      <c r="B12" s="87" t="s">
        <v>361</v>
      </c>
      <c r="C12" s="78">
        <v>159</v>
      </c>
      <c r="D12" s="70">
        <v>8000</v>
      </c>
      <c r="E12" s="88">
        <f>+D12/Q12*(CALC!$A$4)</f>
        <v>5997.0014992503748</v>
      </c>
      <c r="F12" s="61">
        <v>0</v>
      </c>
      <c r="G12" s="61">
        <v>5482</v>
      </c>
      <c r="H12" s="61">
        <v>0</v>
      </c>
      <c r="I12" s="61">
        <f t="shared" si="0"/>
        <v>20470.4175</v>
      </c>
      <c r="J12" s="61">
        <v>41245.08</v>
      </c>
      <c r="K12" s="61">
        <v>636</v>
      </c>
      <c r="L12" s="61"/>
      <c r="M12" s="61"/>
      <c r="N12" s="61">
        <f t="shared" si="1"/>
        <v>73830.498999250383</v>
      </c>
      <c r="O12" s="56">
        <f>N12/CALC!$A$8*CALC!$A$6</f>
        <v>2700.0688759187046</v>
      </c>
      <c r="P12" s="61">
        <f t="shared" si="2"/>
        <v>76530.567875169087</v>
      </c>
      <c r="Q12" s="72">
        <v>6.67</v>
      </c>
      <c r="R12" s="73"/>
      <c r="S12" s="41"/>
      <c r="T12" s="41"/>
      <c r="U12" s="41"/>
    </row>
    <row r="13" spans="1:21" s="18" customFormat="1">
      <c r="A13" s="87"/>
      <c r="B13" s="87" t="s">
        <v>362</v>
      </c>
      <c r="C13" s="78">
        <v>161</v>
      </c>
      <c r="D13" s="70">
        <v>20000</v>
      </c>
      <c r="E13" s="88">
        <f>+D13/Q13*(CALC!$A$4)</f>
        <v>14992.503748125937</v>
      </c>
      <c r="F13" s="61">
        <v>0</v>
      </c>
      <c r="G13" s="61">
        <v>5482</v>
      </c>
      <c r="H13" s="61">
        <v>0</v>
      </c>
      <c r="I13" s="61">
        <f t="shared" si="0"/>
        <v>20470.4175</v>
      </c>
      <c r="J13" s="61">
        <v>41245.08</v>
      </c>
      <c r="K13" s="61">
        <v>636</v>
      </c>
      <c r="L13" s="61"/>
      <c r="M13" s="61"/>
      <c r="N13" s="61">
        <f t="shared" si="1"/>
        <v>82826.001248125933</v>
      </c>
      <c r="O13" s="56">
        <f>N13/CALC!$A$8*CALC!$A$6</f>
        <v>3029.0450575058317</v>
      </c>
      <c r="P13" s="61">
        <f t="shared" si="2"/>
        <v>85855.046305631768</v>
      </c>
      <c r="Q13" s="72">
        <v>6.67</v>
      </c>
      <c r="R13" s="73"/>
      <c r="S13" s="41"/>
      <c r="T13" s="41"/>
      <c r="U13" s="41"/>
    </row>
    <row r="14" spans="1:21" s="18" customFormat="1">
      <c r="A14" s="87"/>
      <c r="B14" s="87" t="s">
        <v>363</v>
      </c>
      <c r="C14" s="78">
        <v>253</v>
      </c>
      <c r="D14" s="70">
        <v>20000</v>
      </c>
      <c r="E14" s="88">
        <f>+D14/Q14*(CALC!$A$4)</f>
        <v>14992.503748125937</v>
      </c>
      <c r="F14" s="61">
        <v>0</v>
      </c>
      <c r="G14" s="61">
        <v>5482</v>
      </c>
      <c r="H14" s="61">
        <v>0</v>
      </c>
      <c r="I14" s="61">
        <f t="shared" si="0"/>
        <v>20470.4175</v>
      </c>
      <c r="J14" s="61">
        <v>41245.08</v>
      </c>
      <c r="K14" s="61">
        <v>636</v>
      </c>
      <c r="L14" s="61"/>
      <c r="M14" s="61"/>
      <c r="N14" s="61">
        <f t="shared" si="1"/>
        <v>82826.001248125933</v>
      </c>
      <c r="O14" s="56">
        <f>N14/CALC!$A$8*CALC!$A$6</f>
        <v>3029.0450575058317</v>
      </c>
      <c r="P14" s="61">
        <f t="shared" si="2"/>
        <v>85855.046305631768</v>
      </c>
      <c r="Q14" s="72">
        <v>6.67</v>
      </c>
      <c r="R14" s="73"/>
      <c r="S14" s="41"/>
      <c r="T14" s="41"/>
      <c r="U14" s="41"/>
    </row>
    <row r="15" spans="1:21" s="18" customFormat="1">
      <c r="A15" s="87"/>
      <c r="B15" s="87" t="s">
        <v>364</v>
      </c>
      <c r="C15" s="78">
        <v>254</v>
      </c>
      <c r="D15" s="70">
        <v>8000</v>
      </c>
      <c r="E15" s="88">
        <f>+D15/Q15*(CALC!$A$4)</f>
        <v>5997.0014992503748</v>
      </c>
      <c r="F15" s="61"/>
      <c r="G15" s="61">
        <v>5482</v>
      </c>
      <c r="H15" s="61"/>
      <c r="I15" s="61">
        <f t="shared" si="0"/>
        <v>20470.4175</v>
      </c>
      <c r="J15" s="61">
        <v>41245.08</v>
      </c>
      <c r="K15" s="61">
        <v>636</v>
      </c>
      <c r="L15" s="61"/>
      <c r="M15" s="61"/>
      <c r="N15" s="61">
        <f>SUM(E15:M15)</f>
        <v>73830.498999250383</v>
      </c>
      <c r="O15" s="56">
        <f>N15/CALC!$A$8*CALC!$A$6</f>
        <v>2700.0688759187046</v>
      </c>
      <c r="P15" s="61">
        <f>+N15+O15</f>
        <v>76530.567875169087</v>
      </c>
      <c r="Q15" s="72">
        <v>6.67</v>
      </c>
      <c r="R15" s="73"/>
      <c r="S15" s="41"/>
      <c r="T15" s="41"/>
      <c r="U15" s="41"/>
    </row>
    <row r="16" spans="1:21" s="18" customFormat="1">
      <c r="A16" s="87"/>
      <c r="B16" s="87" t="s">
        <v>365</v>
      </c>
      <c r="C16" s="78">
        <v>257</v>
      </c>
      <c r="D16" s="70">
        <v>20000</v>
      </c>
      <c r="E16" s="88">
        <f>+D16/Q16*(CALC!$A$4)</f>
        <v>14992.503748125937</v>
      </c>
      <c r="F16" s="61"/>
      <c r="G16" s="61">
        <v>5482</v>
      </c>
      <c r="H16" s="61"/>
      <c r="I16" s="61">
        <f t="shared" si="0"/>
        <v>20470.4175</v>
      </c>
      <c r="J16" s="61">
        <v>41245.08</v>
      </c>
      <c r="K16" s="61">
        <v>636</v>
      </c>
      <c r="L16" s="61"/>
      <c r="M16" s="61"/>
      <c r="N16" s="61">
        <f>SUM(E16:M16)</f>
        <v>82826.001248125933</v>
      </c>
      <c r="O16" s="56">
        <f>N16/CALC!$A$8*CALC!$A$6</f>
        <v>3029.0450575058317</v>
      </c>
      <c r="P16" s="61">
        <f>+N16+O16</f>
        <v>85855.046305631768</v>
      </c>
      <c r="Q16" s="72">
        <v>6.67</v>
      </c>
      <c r="R16" s="73"/>
    </row>
    <row r="17" spans="1:21">
      <c r="A17" s="22"/>
      <c r="B17" s="22"/>
      <c r="C17" s="33"/>
      <c r="D17" s="15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55"/>
      <c r="R17" s="36"/>
      <c r="S17" s="21"/>
      <c r="T17" s="21"/>
      <c r="U17" s="21"/>
    </row>
    <row r="18" spans="1:21" s="30" customFormat="1">
      <c r="A18" s="59"/>
      <c r="B18" s="4" t="s">
        <v>15</v>
      </c>
      <c r="C18" s="42"/>
      <c r="D18" s="28">
        <f>SUM(D7:D17)</f>
        <v>216000</v>
      </c>
      <c r="E18" s="26">
        <f>SUM(E7:E17)</f>
        <v>161919.04047976015</v>
      </c>
      <c r="F18" s="26">
        <f t="shared" ref="F18:K18" si="3">SUM(F7:F17)</f>
        <v>0</v>
      </c>
      <c r="G18" s="26">
        <f t="shared" si="3"/>
        <v>54820</v>
      </c>
      <c r="H18" s="26">
        <f t="shared" si="3"/>
        <v>0</v>
      </c>
      <c r="I18" s="26">
        <f t="shared" si="3"/>
        <v>204704.17500000002</v>
      </c>
      <c r="J18" s="26">
        <f t="shared" si="3"/>
        <v>412450.8000000001</v>
      </c>
      <c r="K18" s="26">
        <f t="shared" si="3"/>
        <v>6360</v>
      </c>
      <c r="L18" s="26">
        <f>SUM(L7:L17)</f>
        <v>0</v>
      </c>
      <c r="M18" s="26"/>
      <c r="N18" s="26">
        <f>SUM(N7:N17)</f>
        <v>840254.01547976001</v>
      </c>
      <c r="O18" s="26">
        <f>N18/CALC!$A$8*CALC!$A$6</f>
        <v>30729.085483841151</v>
      </c>
      <c r="P18" s="26">
        <f>+N18+O18</f>
        <v>870983.10096360114</v>
      </c>
      <c r="Q18" s="57"/>
      <c r="R18" s="197">
        <f>(+P18/D18)*(1+CALC!$A$2)</f>
        <v>4.1532990462616164</v>
      </c>
      <c r="S18" s="59"/>
      <c r="T18" s="59"/>
      <c r="U18" s="59"/>
    </row>
    <row r="19" spans="1:21" s="30" customFormat="1" ht="12" thickBot="1">
      <c r="A19" s="59"/>
      <c r="B19" s="59"/>
      <c r="C19" s="63"/>
      <c r="D19" s="64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0"/>
      <c r="S19" s="59"/>
      <c r="T19" s="59"/>
      <c r="U19" s="59"/>
    </row>
    <row r="20" spans="1:21" ht="12" thickBot="1">
      <c r="A20" s="97" t="s">
        <v>11</v>
      </c>
      <c r="B20" s="98" t="s">
        <v>699</v>
      </c>
      <c r="D20" s="381" t="s">
        <v>322</v>
      </c>
      <c r="E20" s="382"/>
      <c r="F20" s="383"/>
      <c r="R20" s="36"/>
      <c r="S20" s="21"/>
      <c r="T20" s="21"/>
      <c r="U20" s="21"/>
    </row>
    <row r="21" spans="1:21">
      <c r="R21" s="36"/>
      <c r="S21" s="21"/>
      <c r="T21" s="21"/>
      <c r="U21" s="21"/>
    </row>
    <row r="22" spans="1:21" s="18" customFormat="1">
      <c r="A22" s="87"/>
      <c r="B22" s="87" t="s">
        <v>366</v>
      </c>
      <c r="C22" s="78">
        <v>152</v>
      </c>
      <c r="D22" s="70">
        <v>15000</v>
      </c>
      <c r="E22" s="88">
        <f>+D22/Q22*(CALC!$A$4)</f>
        <v>8250.8250825082505</v>
      </c>
      <c r="F22" s="61"/>
      <c r="G22" s="61">
        <v>5482</v>
      </c>
      <c r="H22" s="61"/>
      <c r="I22" s="61">
        <f>0.75*40502.58</f>
        <v>30376.935000000001</v>
      </c>
      <c r="J22" s="61">
        <v>59452.68</v>
      </c>
      <c r="K22" s="61">
        <v>636</v>
      </c>
      <c r="L22" s="61"/>
      <c r="M22" s="61"/>
      <c r="N22" s="61">
        <f>SUM(E22:M22)</f>
        <v>104198.44008250826</v>
      </c>
      <c r="O22" s="56">
        <f>N22/CALC!$A$8*CALC!$A$6</f>
        <v>3810.6604831279428</v>
      </c>
      <c r="P22" s="61">
        <f>+N22+O22</f>
        <v>108009.1005656362</v>
      </c>
      <c r="Q22" s="72">
        <v>9.09</v>
      </c>
      <c r="R22" s="75"/>
      <c r="S22" s="41"/>
      <c r="T22" s="41"/>
      <c r="U22" s="41"/>
    </row>
    <row r="23" spans="1:21" s="18" customFormat="1">
      <c r="A23" s="87"/>
      <c r="B23" s="87" t="s">
        <v>367</v>
      </c>
      <c r="C23" s="78">
        <v>154</v>
      </c>
      <c r="D23" s="70">
        <v>15000</v>
      </c>
      <c r="E23" s="88">
        <f>+D23/Q23*(CALC!$A$4)</f>
        <v>8250.8250825082505</v>
      </c>
      <c r="F23" s="61"/>
      <c r="G23" s="61">
        <v>5482</v>
      </c>
      <c r="H23" s="61"/>
      <c r="I23" s="61">
        <f>0.75*40502.58</f>
        <v>30376.935000000001</v>
      </c>
      <c r="J23" s="61">
        <v>59452.68</v>
      </c>
      <c r="K23" s="61">
        <v>636</v>
      </c>
      <c r="L23" s="61"/>
      <c r="M23" s="61"/>
      <c r="N23" s="61">
        <f>SUM(E23:M23)</f>
        <v>104198.44008250826</v>
      </c>
      <c r="O23" s="56">
        <f>N23/CALC!$A$8*CALC!$A$6</f>
        <v>3810.6604831279428</v>
      </c>
      <c r="P23" s="61">
        <f>+N23+O23</f>
        <v>108009.1005656362</v>
      </c>
      <c r="Q23" s="72">
        <v>9.09</v>
      </c>
      <c r="R23" s="75"/>
      <c r="S23" s="41"/>
      <c r="T23" s="41"/>
      <c r="U23" s="41"/>
    </row>
    <row r="24" spans="1:21" s="18" customFormat="1">
      <c r="A24" s="87"/>
      <c r="B24" s="87"/>
      <c r="C24" s="78"/>
      <c r="D24" s="70"/>
      <c r="E24" s="87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72"/>
      <c r="R24" s="73"/>
      <c r="S24" s="41"/>
      <c r="T24" s="41"/>
      <c r="U24" s="41"/>
    </row>
    <row r="25" spans="1:21" s="30" customFormat="1">
      <c r="A25" s="59"/>
      <c r="B25" s="4" t="s">
        <v>15</v>
      </c>
      <c r="C25" s="42"/>
      <c r="D25" s="28">
        <f t="shared" ref="D25:N25" si="4">SUM(D22:D24)</f>
        <v>30000</v>
      </c>
      <c r="E25" s="26">
        <f t="shared" si="4"/>
        <v>16501.650165016501</v>
      </c>
      <c r="F25" s="26">
        <f t="shared" si="4"/>
        <v>0</v>
      </c>
      <c r="G25" s="26">
        <f t="shared" si="4"/>
        <v>10964</v>
      </c>
      <c r="H25" s="26">
        <f t="shared" si="4"/>
        <v>0</v>
      </c>
      <c r="I25" s="26">
        <f t="shared" si="4"/>
        <v>60753.87</v>
      </c>
      <c r="J25" s="26">
        <f t="shared" si="4"/>
        <v>118905.36</v>
      </c>
      <c r="K25" s="26">
        <f t="shared" si="4"/>
        <v>1272</v>
      </c>
      <c r="L25" s="26">
        <f t="shared" si="4"/>
        <v>0</v>
      </c>
      <c r="M25" s="26"/>
      <c r="N25" s="26">
        <f t="shared" si="4"/>
        <v>208396.88016501651</v>
      </c>
      <c r="O25" s="26">
        <f>N25/CALC!$A$8*CALC!$A$6</f>
        <v>7621.3209662558857</v>
      </c>
      <c r="P25" s="26">
        <f>+N25+O25</f>
        <v>216018.20113127239</v>
      </c>
      <c r="Q25" s="57"/>
      <c r="R25" s="197">
        <f>(+P25/D25)*(1+CALC!$A$2)</f>
        <v>7.4166249055070192</v>
      </c>
      <c r="S25" s="59"/>
      <c r="T25" s="59"/>
      <c r="U25" s="59"/>
    </row>
    <row r="26" spans="1:21" ht="12" thickBot="1">
      <c r="R26" s="303"/>
      <c r="S26" s="21"/>
      <c r="T26" s="21"/>
      <c r="U26" s="21"/>
    </row>
    <row r="27" spans="1:21" ht="12" thickBot="1">
      <c r="A27" s="97" t="s">
        <v>11</v>
      </c>
      <c r="B27" s="98" t="s">
        <v>700</v>
      </c>
      <c r="D27" s="381" t="s">
        <v>309</v>
      </c>
      <c r="E27" s="382"/>
      <c r="F27" s="383"/>
      <c r="R27" s="36"/>
      <c r="S27" s="21"/>
      <c r="T27" s="21"/>
      <c r="U27" s="21"/>
    </row>
    <row r="28" spans="1:21" s="18" customFormat="1">
      <c r="A28" s="87"/>
      <c r="B28" s="87"/>
      <c r="C28" s="78"/>
      <c r="D28" s="70"/>
      <c r="E28" s="88"/>
      <c r="F28" s="61"/>
      <c r="G28" s="61"/>
      <c r="H28" s="61"/>
      <c r="I28" s="61"/>
      <c r="J28" s="61"/>
      <c r="K28" s="61"/>
      <c r="L28" s="61"/>
      <c r="M28" s="61"/>
      <c r="N28" s="61"/>
      <c r="O28" s="56"/>
      <c r="P28" s="61"/>
      <c r="Q28" s="72"/>
      <c r="R28" s="60"/>
    </row>
    <row r="29" spans="1:21" s="19" customFormat="1">
      <c r="A29" s="3"/>
      <c r="B29" s="3" t="s">
        <v>368</v>
      </c>
      <c r="C29" s="206">
        <v>72</v>
      </c>
      <c r="D29" s="207">
        <v>15000</v>
      </c>
      <c r="E29" s="208">
        <f>+D29/Q29*(CALC!$A$4)</f>
        <v>37500</v>
      </c>
      <c r="F29" s="56">
        <v>0</v>
      </c>
      <c r="G29" s="56">
        <v>6057.27</v>
      </c>
      <c r="H29" s="56"/>
      <c r="I29" s="56">
        <f>0.75*53491.67</f>
        <v>40118.752500000002</v>
      </c>
      <c r="J29" s="56">
        <v>98657.04</v>
      </c>
      <c r="K29" s="56">
        <v>0</v>
      </c>
      <c r="L29" s="56"/>
      <c r="M29" s="56"/>
      <c r="N29" s="56">
        <f>SUM(E29:M29)</f>
        <v>182333.0625</v>
      </c>
      <c r="O29" s="56">
        <f>N29/CALC!$A$8*CALC!$A$6</f>
        <v>6668.1362550751337</v>
      </c>
      <c r="P29" s="56">
        <f>+N29+O29</f>
        <v>189001.19875507514</v>
      </c>
      <c r="Q29" s="74">
        <v>2</v>
      </c>
      <c r="R29" s="75"/>
    </row>
    <row r="30" spans="1:21" s="18" customFormat="1">
      <c r="A30" s="87"/>
      <c r="B30" s="87"/>
      <c r="C30" s="78"/>
      <c r="D30" s="70"/>
      <c r="E30" s="87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72"/>
      <c r="R30" s="73"/>
      <c r="S30" s="41"/>
      <c r="T30" s="41"/>
      <c r="U30" s="41"/>
    </row>
    <row r="31" spans="1:21" s="30" customFormat="1">
      <c r="A31" s="59"/>
      <c r="B31" s="4" t="s">
        <v>15</v>
      </c>
      <c r="C31" s="42"/>
      <c r="D31" s="28">
        <f t="shared" ref="D31:N31" si="5">SUM(D28:D30)</f>
        <v>15000</v>
      </c>
      <c r="E31" s="26">
        <f t="shared" si="5"/>
        <v>37500</v>
      </c>
      <c r="F31" s="26">
        <f t="shared" si="5"/>
        <v>0</v>
      </c>
      <c r="G31" s="26">
        <f t="shared" si="5"/>
        <v>6057.27</v>
      </c>
      <c r="H31" s="26">
        <f t="shared" si="5"/>
        <v>0</v>
      </c>
      <c r="I31" s="26">
        <f t="shared" si="5"/>
        <v>40118.752500000002</v>
      </c>
      <c r="J31" s="26">
        <f t="shared" si="5"/>
        <v>98657.04</v>
      </c>
      <c r="K31" s="26">
        <f t="shared" si="5"/>
        <v>0</v>
      </c>
      <c r="L31" s="26">
        <f t="shared" si="5"/>
        <v>0</v>
      </c>
      <c r="M31" s="26"/>
      <c r="N31" s="26">
        <f t="shared" si="5"/>
        <v>182333.0625</v>
      </c>
      <c r="O31" s="26">
        <f>N31/CALC!$A$8*CALC!$A$6</f>
        <v>6668.1362550751337</v>
      </c>
      <c r="P31" s="26">
        <f>+N31+O31</f>
        <v>189001.19875507514</v>
      </c>
      <c r="Q31" s="57"/>
      <c r="R31" s="197">
        <f>(+P31/D31)*(1+CALC!$A$2)</f>
        <v>12.978082314515161</v>
      </c>
      <c r="S31" s="59"/>
      <c r="T31" s="59"/>
      <c r="U31" s="59"/>
    </row>
    <row r="32" spans="1:21" ht="12" thickBot="1">
      <c r="R32" s="36"/>
      <c r="S32" s="21"/>
      <c r="T32" s="21"/>
      <c r="U32" s="21"/>
    </row>
    <row r="33" spans="1:21" ht="12" thickBot="1">
      <c r="A33" s="97" t="s">
        <v>11</v>
      </c>
      <c r="B33" s="98" t="s">
        <v>701</v>
      </c>
      <c r="D33" s="381" t="s">
        <v>369</v>
      </c>
      <c r="E33" s="382"/>
      <c r="F33" s="383"/>
      <c r="R33" s="36"/>
      <c r="S33" s="21"/>
      <c r="T33" s="21"/>
      <c r="U33" s="21"/>
    </row>
    <row r="34" spans="1:21">
      <c r="R34" s="36"/>
      <c r="S34" s="21"/>
      <c r="T34" s="21"/>
      <c r="U34" s="21"/>
    </row>
    <row r="35" spans="1:21" s="18" customFormat="1">
      <c r="A35" s="87"/>
      <c r="B35" s="87" t="s">
        <v>373</v>
      </c>
      <c r="C35" s="78">
        <v>202</v>
      </c>
      <c r="D35" s="70">
        <v>15000</v>
      </c>
      <c r="E35" s="88">
        <f>+D35/Q35*(CALC!$A$4)</f>
        <v>50000</v>
      </c>
      <c r="F35" s="61"/>
      <c r="G35" s="61">
        <v>6057.27</v>
      </c>
      <c r="H35" s="61"/>
      <c r="I35" s="61">
        <f>0.75*98423.34</f>
        <v>73817.505000000005</v>
      </c>
      <c r="J35" s="61">
        <v>159549.72</v>
      </c>
      <c r="K35" s="61"/>
      <c r="L35" s="61"/>
      <c r="M35" s="61"/>
      <c r="N35" s="61">
        <f>SUM(E35:M35)</f>
        <v>289424.495</v>
      </c>
      <c r="O35" s="56">
        <f>N35/CALC!$A$8*CALC!$A$6</f>
        <v>10584.596900610453</v>
      </c>
      <c r="P35" s="61">
        <f>+N35+O35</f>
        <v>300009.09190061042</v>
      </c>
      <c r="Q35" s="72">
        <v>1.5</v>
      </c>
      <c r="R35" s="75"/>
      <c r="S35" s="41"/>
      <c r="T35" s="41"/>
      <c r="U35" s="41"/>
    </row>
    <row r="36" spans="1:21" s="18" customFormat="1">
      <c r="A36" s="87"/>
      <c r="B36" s="87" t="s">
        <v>374</v>
      </c>
      <c r="C36" s="78" t="s">
        <v>375</v>
      </c>
      <c r="D36" s="70">
        <v>15000</v>
      </c>
      <c r="E36" s="88">
        <f>+D36/Q36*(CALC!$A$4)</f>
        <v>50000</v>
      </c>
      <c r="F36" s="61"/>
      <c r="G36" s="61">
        <v>6057.27</v>
      </c>
      <c r="H36" s="61"/>
      <c r="I36" s="61">
        <f>0.75*98423.34</f>
        <v>73817.505000000005</v>
      </c>
      <c r="J36" s="61">
        <v>159549.72</v>
      </c>
      <c r="K36" s="61"/>
      <c r="L36" s="61"/>
      <c r="M36" s="61"/>
      <c r="N36" s="61">
        <f>SUM(E36:M36)</f>
        <v>289424.495</v>
      </c>
      <c r="O36" s="56">
        <f>N36/CALC!$A$8*CALC!$A$6</f>
        <v>10584.596900610453</v>
      </c>
      <c r="P36" s="61">
        <f>+N36+O36</f>
        <v>300009.09190061042</v>
      </c>
      <c r="Q36" s="72">
        <v>1.5</v>
      </c>
      <c r="R36" s="75"/>
      <c r="S36" s="41"/>
      <c r="T36" s="41"/>
      <c r="U36" s="41"/>
    </row>
    <row r="37" spans="1:21" s="18" customFormat="1">
      <c r="A37" s="87"/>
      <c r="B37" s="87"/>
      <c r="C37" s="78"/>
      <c r="D37" s="70"/>
      <c r="E37" s="87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72"/>
      <c r="R37" s="73"/>
      <c r="S37" s="41"/>
      <c r="T37" s="41"/>
      <c r="U37" s="41"/>
    </row>
    <row r="38" spans="1:21" s="30" customFormat="1">
      <c r="A38" s="59"/>
      <c r="B38" s="198" t="s">
        <v>15</v>
      </c>
      <c r="C38" s="42"/>
      <c r="D38" s="28">
        <f t="shared" ref="D38:N38" si="6">SUM(D35:D37)</f>
        <v>30000</v>
      </c>
      <c r="E38" s="26">
        <f t="shared" si="6"/>
        <v>100000</v>
      </c>
      <c r="F38" s="26">
        <f t="shared" si="6"/>
        <v>0</v>
      </c>
      <c r="G38" s="26">
        <f t="shared" si="6"/>
        <v>12114.54</v>
      </c>
      <c r="H38" s="26">
        <f t="shared" si="6"/>
        <v>0</v>
      </c>
      <c r="I38" s="26">
        <f t="shared" si="6"/>
        <v>147635.01</v>
      </c>
      <c r="J38" s="26">
        <f t="shared" si="6"/>
        <v>319099.44</v>
      </c>
      <c r="K38" s="26">
        <f t="shared" si="6"/>
        <v>0</v>
      </c>
      <c r="L38" s="26">
        <f t="shared" si="6"/>
        <v>0</v>
      </c>
      <c r="M38" s="26"/>
      <c r="N38" s="26">
        <f t="shared" si="6"/>
        <v>578848.99</v>
      </c>
      <c r="O38" s="26">
        <f>N38/CALC!$A$8*CALC!$A$6</f>
        <v>21169.193801220907</v>
      </c>
      <c r="P38" s="26">
        <f>+N38+O38</f>
        <v>600018.18380122085</v>
      </c>
      <c r="Q38" s="57"/>
      <c r="R38" s="197">
        <f>(+P38/D38)*(1+CALC!$A$2)</f>
        <v>20.600624310508582</v>
      </c>
      <c r="S38" s="59"/>
      <c r="T38" s="59"/>
      <c r="U38" s="59"/>
    </row>
    <row r="39" spans="1:21" ht="12" thickBot="1">
      <c r="R39" s="36"/>
      <c r="S39" s="21"/>
      <c r="T39" s="21"/>
      <c r="U39" s="21"/>
    </row>
    <row r="40" spans="1:21" ht="12" thickBot="1">
      <c r="A40" s="97" t="s">
        <v>11</v>
      </c>
      <c r="B40" s="98" t="s">
        <v>702</v>
      </c>
      <c r="D40" s="381" t="s">
        <v>371</v>
      </c>
      <c r="E40" s="382"/>
      <c r="F40" s="383"/>
      <c r="R40" s="36"/>
      <c r="S40" s="21"/>
      <c r="T40" s="21"/>
      <c r="U40" s="21"/>
    </row>
    <row r="41" spans="1:21" s="18" customFormat="1">
      <c r="A41" s="87"/>
      <c r="B41" s="87"/>
      <c r="C41" s="78"/>
      <c r="D41" s="70"/>
      <c r="E41" s="88"/>
      <c r="F41" s="61"/>
      <c r="G41" s="61"/>
      <c r="H41" s="61"/>
      <c r="I41" s="61"/>
      <c r="J41" s="61"/>
      <c r="K41" s="61"/>
      <c r="L41" s="61"/>
      <c r="M41" s="61"/>
      <c r="N41" s="61"/>
      <c r="O41" s="56"/>
      <c r="P41" s="61"/>
      <c r="Q41" s="72"/>
      <c r="R41" s="60"/>
    </row>
    <row r="42" spans="1:21" s="18" customFormat="1">
      <c r="A42" s="87"/>
      <c r="B42" s="87" t="s">
        <v>372</v>
      </c>
      <c r="C42" s="78">
        <v>115</v>
      </c>
      <c r="D42" s="70">
        <v>25000</v>
      </c>
      <c r="E42" s="88">
        <f>+D42/Q42*(CALC!$A$4)</f>
        <v>83333.333333333343</v>
      </c>
      <c r="F42" s="61">
        <v>0</v>
      </c>
      <c r="G42" s="61">
        <v>6057.27</v>
      </c>
      <c r="H42" s="61"/>
      <c r="I42" s="61">
        <f>0.75*53491.67</f>
        <v>40118.752500000002</v>
      </c>
      <c r="J42" s="61">
        <v>160347.6</v>
      </c>
      <c r="K42" s="61">
        <v>0</v>
      </c>
      <c r="L42" s="61"/>
      <c r="M42" s="61"/>
      <c r="N42" s="61">
        <f>SUM(E42:M42)</f>
        <v>289856.95583333337</v>
      </c>
      <c r="O42" s="61">
        <f>N42/CALC!$A$8*CALC!$A$6</f>
        <v>10600.412505976321</v>
      </c>
      <c r="P42" s="61">
        <f>+N42+O42</f>
        <v>300457.3683393097</v>
      </c>
      <c r="Q42" s="72">
        <v>1.5</v>
      </c>
      <c r="R42" s="318"/>
    </row>
    <row r="43" spans="1:21" s="18" customFormat="1">
      <c r="A43" s="87"/>
      <c r="B43" s="87"/>
      <c r="C43" s="78"/>
      <c r="D43" s="70"/>
      <c r="E43" s="87"/>
      <c r="F43" s="61"/>
      <c r="G43" s="61"/>
      <c r="H43" s="61"/>
      <c r="I43" s="61"/>
      <c r="J43" s="61"/>
      <c r="K43" s="61"/>
      <c r="L43" s="61"/>
      <c r="M43" s="61"/>
      <c r="N43" s="61"/>
      <c r="O43" s="61"/>
      <c r="P43" s="61"/>
      <c r="Q43" s="72"/>
      <c r="R43" s="73"/>
      <c r="S43" s="41"/>
      <c r="T43" s="41"/>
      <c r="U43" s="41"/>
    </row>
    <row r="44" spans="1:21" s="30" customFormat="1">
      <c r="A44" s="59"/>
      <c r="B44" s="4" t="s">
        <v>15</v>
      </c>
      <c r="C44" s="42"/>
      <c r="D44" s="28">
        <f t="shared" ref="D44:N44" si="7">SUM(D41:D43)</f>
        <v>25000</v>
      </c>
      <c r="E44" s="26">
        <f t="shared" si="7"/>
        <v>83333.333333333343</v>
      </c>
      <c r="F44" s="26">
        <f t="shared" si="7"/>
        <v>0</v>
      </c>
      <c r="G44" s="26">
        <f t="shared" si="7"/>
        <v>6057.27</v>
      </c>
      <c r="H44" s="26">
        <f t="shared" si="7"/>
        <v>0</v>
      </c>
      <c r="I44" s="26">
        <f t="shared" si="7"/>
        <v>40118.752500000002</v>
      </c>
      <c r="J44" s="26">
        <f t="shared" si="7"/>
        <v>160347.6</v>
      </c>
      <c r="K44" s="26">
        <f t="shared" si="7"/>
        <v>0</v>
      </c>
      <c r="L44" s="26">
        <f t="shared" si="7"/>
        <v>0</v>
      </c>
      <c r="M44" s="26"/>
      <c r="N44" s="26">
        <f t="shared" si="7"/>
        <v>289856.95583333337</v>
      </c>
      <c r="O44" s="26">
        <f>N44/CALC!$A$8*CALC!$A$6</f>
        <v>10600.412505976321</v>
      </c>
      <c r="P44" s="26">
        <f>+N44+O44</f>
        <v>300457.3683393097</v>
      </c>
      <c r="Q44" s="57"/>
      <c r="R44" s="197">
        <f>(+P44/D44)*(1+CALC!$A$2)</f>
        <v>12.378843575579559</v>
      </c>
      <c r="S44" s="59"/>
      <c r="T44" s="59"/>
      <c r="U44" s="59"/>
    </row>
    <row r="45" spans="1:21" ht="12" thickBot="1">
      <c r="R45" s="36"/>
      <c r="S45" s="21"/>
      <c r="T45" s="21"/>
      <c r="U45" s="21"/>
    </row>
    <row r="46" spans="1:21" ht="12" thickBot="1">
      <c r="A46" s="97" t="s">
        <v>11</v>
      </c>
      <c r="B46" s="98" t="s">
        <v>703</v>
      </c>
      <c r="D46" s="381" t="s">
        <v>376</v>
      </c>
      <c r="E46" s="382"/>
      <c r="F46" s="383"/>
      <c r="R46" s="36"/>
      <c r="S46" s="21"/>
      <c r="T46" s="21"/>
      <c r="U46" s="21"/>
    </row>
    <row r="47" spans="1:21" s="18" customFormat="1">
      <c r="A47" s="87"/>
      <c r="B47" s="87"/>
      <c r="C47" s="78"/>
      <c r="D47" s="70"/>
      <c r="E47" s="88"/>
      <c r="F47" s="61"/>
      <c r="G47" s="61"/>
      <c r="H47" s="61"/>
      <c r="I47" s="61"/>
      <c r="J47" s="61"/>
      <c r="K47" s="61"/>
      <c r="L47" s="61"/>
      <c r="M47" s="61"/>
      <c r="N47" s="61"/>
      <c r="O47" s="56"/>
      <c r="P47" s="61"/>
      <c r="Q47" s="72"/>
      <c r="R47" s="60"/>
    </row>
    <row r="48" spans="1:21" s="19" customFormat="1">
      <c r="A48" s="3"/>
      <c r="B48" s="3" t="s">
        <v>370</v>
      </c>
      <c r="C48" s="206">
        <v>297</v>
      </c>
      <c r="D48" s="207">
        <v>35000</v>
      </c>
      <c r="E48" s="208">
        <f>+D48/Q48*(CALC!$A$4)</f>
        <v>116666.66666666666</v>
      </c>
      <c r="F48" s="56">
        <v>0</v>
      </c>
      <c r="G48" s="56">
        <v>6057.27</v>
      </c>
      <c r="H48" s="56"/>
      <c r="I48" s="56">
        <f>0.75*53491.67</f>
        <v>40118.752500000002</v>
      </c>
      <c r="J48" s="56">
        <v>98657.04</v>
      </c>
      <c r="K48" s="56">
        <v>0</v>
      </c>
      <c r="L48" s="56"/>
      <c r="M48" s="56"/>
      <c r="N48" s="56">
        <f>SUM(E48:M48)</f>
        <v>261499.72916666663</v>
      </c>
      <c r="O48" s="56">
        <f>N48/CALC!$A$8*CALC!$A$6</f>
        <v>9563.3551087235119</v>
      </c>
      <c r="P48" s="56">
        <f>+N48+O48</f>
        <v>271063.08427539014</v>
      </c>
      <c r="Q48" s="74">
        <v>1.5</v>
      </c>
      <c r="R48" s="75"/>
    </row>
    <row r="49" spans="1:21" s="18" customFormat="1">
      <c r="A49" s="87"/>
      <c r="B49" s="87"/>
      <c r="C49" s="78"/>
      <c r="D49" s="70"/>
      <c r="E49" s="87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72"/>
      <c r="R49" s="73"/>
      <c r="S49" s="41"/>
      <c r="T49" s="41"/>
      <c r="U49" s="41"/>
    </row>
    <row r="50" spans="1:21" s="30" customFormat="1">
      <c r="A50" s="59"/>
      <c r="B50" s="4" t="s">
        <v>15</v>
      </c>
      <c r="C50" s="42"/>
      <c r="D50" s="28">
        <f t="shared" ref="D50:N50" si="8">SUM(D47:D49)</f>
        <v>35000</v>
      </c>
      <c r="E50" s="26">
        <f t="shared" si="8"/>
        <v>116666.66666666666</v>
      </c>
      <c r="F50" s="26">
        <f t="shared" si="8"/>
        <v>0</v>
      </c>
      <c r="G50" s="26">
        <f t="shared" si="8"/>
        <v>6057.27</v>
      </c>
      <c r="H50" s="26">
        <f t="shared" si="8"/>
        <v>0</v>
      </c>
      <c r="I50" s="26">
        <f t="shared" si="8"/>
        <v>40118.752500000002</v>
      </c>
      <c r="J50" s="26">
        <f t="shared" si="8"/>
        <v>98657.04</v>
      </c>
      <c r="K50" s="26">
        <f t="shared" si="8"/>
        <v>0</v>
      </c>
      <c r="L50" s="26">
        <f t="shared" si="8"/>
        <v>0</v>
      </c>
      <c r="M50" s="26"/>
      <c r="N50" s="26">
        <f t="shared" si="8"/>
        <v>261499.72916666663</v>
      </c>
      <c r="O50" s="26">
        <f>N50/CALC!$A$8*CALC!$A$6</f>
        <v>9563.3551087235119</v>
      </c>
      <c r="P50" s="26">
        <f>+N50+O50</f>
        <v>271063.08427539014</v>
      </c>
      <c r="Q50" s="57"/>
      <c r="R50" s="197">
        <f>(+P50/D50)*(1+CALC!$A$2)</f>
        <v>7.9769993372471957</v>
      </c>
      <c r="S50" s="59"/>
      <c r="T50" s="59"/>
      <c r="U50" s="59"/>
    </row>
    <row r="51" spans="1:21">
      <c r="R51" s="36"/>
      <c r="S51" s="21"/>
      <c r="T51" s="21"/>
      <c r="U51" s="21"/>
    </row>
    <row r="52" spans="1:21" ht="12" thickBot="1">
      <c r="R52" s="36"/>
      <c r="S52" s="21"/>
      <c r="T52" s="21"/>
      <c r="U52" s="21"/>
    </row>
    <row r="53" spans="1:21" ht="12" thickBot="1">
      <c r="A53" s="97" t="s">
        <v>11</v>
      </c>
      <c r="B53" s="98" t="s">
        <v>165</v>
      </c>
      <c r="D53" s="381" t="s">
        <v>170</v>
      </c>
      <c r="E53" s="382"/>
      <c r="F53" s="383"/>
      <c r="R53" s="36"/>
      <c r="S53" s="21"/>
      <c r="T53" s="21"/>
      <c r="U53" s="21"/>
    </row>
    <row r="54" spans="1:21">
      <c r="R54" s="36"/>
      <c r="S54" s="21"/>
      <c r="T54" s="21"/>
      <c r="U54" s="21"/>
    </row>
    <row r="55" spans="1:21">
      <c r="A55" s="22" t="s">
        <v>103</v>
      </c>
      <c r="B55" s="22" t="s">
        <v>26</v>
      </c>
      <c r="C55" s="33">
        <v>117</v>
      </c>
      <c r="D55" s="15">
        <v>300</v>
      </c>
      <c r="E55" s="54">
        <f>+D55/Q55*(CALC!$A$4)</f>
        <v>5555.5555555555557</v>
      </c>
      <c r="F55" s="23">
        <v>3000</v>
      </c>
      <c r="G55" s="23">
        <v>5000</v>
      </c>
      <c r="H55" s="23">
        <f>20770*1.045*1.045</f>
        <v>22681.359249999998</v>
      </c>
      <c r="I55" s="23"/>
      <c r="J55" s="23"/>
      <c r="K55" s="23">
        <v>130</v>
      </c>
      <c r="L55" s="23"/>
      <c r="M55" s="23"/>
      <c r="N55" s="23">
        <f>SUM(E55:M55)</f>
        <v>36366.914805555556</v>
      </c>
      <c r="O55" s="26">
        <f>N55/CALC!$A$8*CALC!$A$6</f>
        <v>1329.9811881356059</v>
      </c>
      <c r="P55" s="23">
        <f>+N55+O55</f>
        <v>37696.895993691163</v>
      </c>
      <c r="Q55" s="55">
        <v>0.27</v>
      </c>
      <c r="R55" s="60"/>
      <c r="S55" s="21"/>
      <c r="T55" s="21"/>
      <c r="U55" s="21"/>
    </row>
    <row r="56" spans="1:21">
      <c r="A56" s="22"/>
      <c r="B56" s="22"/>
      <c r="C56" s="33"/>
      <c r="D56" s="15"/>
      <c r="E56" s="54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55"/>
      <c r="R56" s="36"/>
      <c r="S56" s="21"/>
      <c r="T56" s="21"/>
      <c r="U56" s="21"/>
    </row>
    <row r="57" spans="1:21" s="30" customFormat="1">
      <c r="A57" s="59"/>
      <c r="B57" s="4" t="s">
        <v>15</v>
      </c>
      <c r="C57" s="42"/>
      <c r="D57" s="28">
        <f t="shared" ref="D57:N57" si="9">SUM(D55:D56)</f>
        <v>300</v>
      </c>
      <c r="E57" s="26">
        <f t="shared" si="9"/>
        <v>5555.5555555555557</v>
      </c>
      <c r="F57" s="26">
        <f t="shared" si="9"/>
        <v>3000</v>
      </c>
      <c r="G57" s="26">
        <f t="shared" si="9"/>
        <v>5000</v>
      </c>
      <c r="H57" s="26">
        <f t="shared" si="9"/>
        <v>22681.359249999998</v>
      </c>
      <c r="I57" s="26">
        <f t="shared" si="9"/>
        <v>0</v>
      </c>
      <c r="J57" s="26">
        <f t="shared" si="9"/>
        <v>0</v>
      </c>
      <c r="K57" s="26">
        <f t="shared" si="9"/>
        <v>130</v>
      </c>
      <c r="L57" s="26">
        <f>SUM(L55:L56)</f>
        <v>0</v>
      </c>
      <c r="M57" s="26"/>
      <c r="N57" s="26">
        <f t="shared" si="9"/>
        <v>36366.914805555556</v>
      </c>
      <c r="O57" s="26">
        <f>N57/CALC!$A$8*CALC!$A$6</f>
        <v>1329.9811881356059</v>
      </c>
      <c r="P57" s="26">
        <f>+N57+O57</f>
        <v>37696.895993691163</v>
      </c>
      <c r="Q57" s="57"/>
      <c r="R57" s="197">
        <f>(+P57/D57)*(1+CALC!$A$2)</f>
        <v>129.42600957833966</v>
      </c>
      <c r="S57" s="59"/>
      <c r="T57" s="59"/>
      <c r="U57" s="59"/>
    </row>
    <row r="58" spans="1:21" ht="12" thickBot="1">
      <c r="R58" s="36"/>
      <c r="S58" s="21"/>
      <c r="T58" s="21"/>
      <c r="U58" s="21"/>
    </row>
    <row r="59" spans="1:21" ht="12" thickBot="1">
      <c r="A59" s="97" t="s">
        <v>11</v>
      </c>
      <c r="B59" s="98" t="s">
        <v>166</v>
      </c>
      <c r="D59" s="381" t="s">
        <v>171</v>
      </c>
      <c r="E59" s="382"/>
      <c r="F59" s="383"/>
      <c r="R59" s="36"/>
      <c r="S59" s="21"/>
      <c r="T59" s="21"/>
      <c r="U59" s="21"/>
    </row>
    <row r="60" spans="1:21">
      <c r="R60" s="36"/>
      <c r="S60" s="21"/>
      <c r="T60" s="21"/>
      <c r="U60" s="21"/>
    </row>
    <row r="61" spans="1:21" s="18" customFormat="1">
      <c r="A61" s="87" t="s">
        <v>133</v>
      </c>
      <c r="B61" s="87" t="s">
        <v>91</v>
      </c>
      <c r="C61" s="78">
        <v>103</v>
      </c>
      <c r="D61" s="70">
        <v>300</v>
      </c>
      <c r="E61" s="88">
        <f>+D61/Q61*(CALC!$A$4)</f>
        <v>1923.0769230769229</v>
      </c>
      <c r="F61" s="61">
        <f>1238.83*1.045*1.045</f>
        <v>1352.8333307499997</v>
      </c>
      <c r="G61" s="61">
        <v>710</v>
      </c>
      <c r="H61" s="61">
        <f>131.65*1.045*1.045</f>
        <v>143.76509124999998</v>
      </c>
      <c r="I61" s="61"/>
      <c r="J61" s="61"/>
      <c r="K61" s="61">
        <v>130</v>
      </c>
      <c r="L61" s="61"/>
      <c r="M61" s="61"/>
      <c r="N61" s="61">
        <f>SUM(E61:M61)</f>
        <v>4259.6753450769229</v>
      </c>
      <c r="O61" s="56">
        <f>N61/CALC!$A$8*CALC!$A$6</f>
        <v>155.78137729879415</v>
      </c>
      <c r="P61" s="61">
        <f>+N61+O61</f>
        <v>4415.4567223757167</v>
      </c>
      <c r="Q61" s="72">
        <v>0.78</v>
      </c>
      <c r="R61" s="60"/>
    </row>
    <row r="62" spans="1:21">
      <c r="A62" s="22"/>
      <c r="B62" s="22"/>
      <c r="C62" s="33"/>
      <c r="D62" s="15"/>
      <c r="E62" s="54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55"/>
      <c r="R62" s="36"/>
      <c r="S62" s="21"/>
      <c r="T62" s="21"/>
      <c r="U62" s="21"/>
    </row>
    <row r="63" spans="1:21" s="30" customFormat="1">
      <c r="A63" s="59"/>
      <c r="B63" s="4" t="s">
        <v>15</v>
      </c>
      <c r="C63" s="42"/>
      <c r="D63" s="28">
        <f t="shared" ref="D63:N63" si="10">SUM(D61:D62)</f>
        <v>300</v>
      </c>
      <c r="E63" s="26">
        <f t="shared" si="10"/>
        <v>1923.0769230769229</v>
      </c>
      <c r="F63" s="26">
        <f t="shared" si="10"/>
        <v>1352.8333307499997</v>
      </c>
      <c r="G63" s="26">
        <f t="shared" si="10"/>
        <v>710</v>
      </c>
      <c r="H63" s="26">
        <f t="shared" si="10"/>
        <v>143.76509124999998</v>
      </c>
      <c r="I63" s="26">
        <f t="shared" si="10"/>
        <v>0</v>
      </c>
      <c r="J63" s="26">
        <f t="shared" si="10"/>
        <v>0</v>
      </c>
      <c r="K63" s="26">
        <f t="shared" si="10"/>
        <v>130</v>
      </c>
      <c r="L63" s="26">
        <f>SUM(L61:L62)</f>
        <v>0</v>
      </c>
      <c r="M63" s="26"/>
      <c r="N63" s="26">
        <f t="shared" si="10"/>
        <v>4259.6753450769229</v>
      </c>
      <c r="O63" s="26">
        <f>N63/CALC!$A$8*CALC!$A$6</f>
        <v>155.78137729879415</v>
      </c>
      <c r="P63" s="26">
        <f>+N63+O63</f>
        <v>4415.4567223757167</v>
      </c>
      <c r="Q63" s="57"/>
      <c r="R63" s="197">
        <f>(+P63/D63)*(1+CALC!$A$2)</f>
        <v>15.159734746823295</v>
      </c>
      <c r="S63" s="59"/>
      <c r="T63" s="59"/>
      <c r="U63" s="59"/>
    </row>
    <row r="64" spans="1:21" ht="12" thickBot="1">
      <c r="R64" s="36"/>
      <c r="S64" s="21"/>
      <c r="T64" s="21"/>
      <c r="U64" s="21"/>
    </row>
    <row r="65" spans="1:21" ht="12" thickBot="1">
      <c r="A65" s="97" t="s">
        <v>11</v>
      </c>
      <c r="B65" s="98" t="s">
        <v>167</v>
      </c>
      <c r="D65" s="381" t="s">
        <v>45</v>
      </c>
      <c r="E65" s="382"/>
      <c r="F65" s="383"/>
      <c r="R65" s="36"/>
      <c r="S65" s="21"/>
      <c r="T65" s="21"/>
      <c r="U65" s="21"/>
    </row>
    <row r="66" spans="1:21">
      <c r="R66" s="36"/>
      <c r="S66" s="21"/>
      <c r="T66" s="21"/>
      <c r="U66" s="21"/>
    </row>
    <row r="67" spans="1:21" s="18" customFormat="1">
      <c r="A67" s="87" t="s">
        <v>135</v>
      </c>
      <c r="B67" s="87" t="s">
        <v>134</v>
      </c>
      <c r="C67" s="78">
        <v>328</v>
      </c>
      <c r="D67" s="70">
        <v>25000</v>
      </c>
      <c r="E67" s="88">
        <f>+D67/Q67*(CALC!$A$4)</f>
        <v>125000</v>
      </c>
      <c r="F67" s="61">
        <v>5000</v>
      </c>
      <c r="G67" s="61">
        <v>8600</v>
      </c>
      <c r="H67" s="61">
        <v>30000</v>
      </c>
      <c r="I67" s="61"/>
      <c r="J67" s="61"/>
      <c r="K67" s="61">
        <v>6058</v>
      </c>
      <c r="L67" s="61"/>
      <c r="M67" s="61"/>
      <c r="N67" s="61">
        <f>SUM(E67:M67)</f>
        <v>174658</v>
      </c>
      <c r="O67" s="56">
        <f>N67/CALC!$A$8*CALC!$A$6</f>
        <v>6387.4501205118131</v>
      </c>
      <c r="P67" s="61">
        <f>+N67+O67</f>
        <v>181045.45012051181</v>
      </c>
      <c r="Q67" s="72">
        <v>1</v>
      </c>
      <c r="R67" s="60"/>
      <c r="S67" s="41"/>
      <c r="T67" s="41"/>
      <c r="U67" s="41"/>
    </row>
    <row r="68" spans="1:21">
      <c r="A68" s="71"/>
      <c r="B68" s="22"/>
      <c r="C68" s="33"/>
      <c r="D68" s="15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55"/>
      <c r="R68" s="36"/>
      <c r="S68" s="21"/>
      <c r="T68" s="21"/>
      <c r="U68" s="21"/>
    </row>
    <row r="69" spans="1:21" s="30" customFormat="1">
      <c r="A69" s="59"/>
      <c r="B69" s="4" t="s">
        <v>15</v>
      </c>
      <c r="C69" s="42"/>
      <c r="D69" s="28">
        <f t="shared" ref="D69:N69" si="11">SUM(D67:D68)</f>
        <v>25000</v>
      </c>
      <c r="E69" s="26">
        <f t="shared" si="11"/>
        <v>125000</v>
      </c>
      <c r="F69" s="26">
        <f t="shared" si="11"/>
        <v>5000</v>
      </c>
      <c r="G69" s="26">
        <f t="shared" si="11"/>
        <v>8600</v>
      </c>
      <c r="H69" s="26">
        <f t="shared" si="11"/>
        <v>30000</v>
      </c>
      <c r="I69" s="26">
        <f t="shared" si="11"/>
        <v>0</v>
      </c>
      <c r="J69" s="26">
        <f t="shared" si="11"/>
        <v>0</v>
      </c>
      <c r="K69" s="26">
        <f t="shared" si="11"/>
        <v>6058</v>
      </c>
      <c r="L69" s="26">
        <f t="shared" si="11"/>
        <v>0</v>
      </c>
      <c r="M69" s="26"/>
      <c r="N69" s="26">
        <f t="shared" si="11"/>
        <v>174658</v>
      </c>
      <c r="O69" s="26">
        <f>N69/CALC!$A$8*CALC!$A$6</f>
        <v>6387.4501205118131</v>
      </c>
      <c r="P69" s="26">
        <f>+N69+O69</f>
        <v>181045.45012051181</v>
      </c>
      <c r="Q69" s="57"/>
      <c r="R69" s="197">
        <f>(+P69/D69)*(1+CALC!$A$2)</f>
        <v>7.4590725449650863</v>
      </c>
      <c r="S69" s="59"/>
      <c r="T69" s="59"/>
      <c r="U69" s="59"/>
    </row>
    <row r="70" spans="1:21">
      <c r="R70" s="36"/>
      <c r="S70" s="21"/>
      <c r="T70" s="21"/>
      <c r="U70" s="21"/>
    </row>
    <row r="71" spans="1:21" ht="12" thickBot="1">
      <c r="R71" s="36"/>
      <c r="S71" s="21"/>
      <c r="T71" s="21"/>
      <c r="U71" s="21"/>
    </row>
    <row r="72" spans="1:21" ht="12" hidden="1" thickBot="1">
      <c r="A72" s="97" t="s">
        <v>11</v>
      </c>
      <c r="B72" s="98" t="s">
        <v>68</v>
      </c>
      <c r="D72" s="381" t="s">
        <v>46</v>
      </c>
      <c r="E72" s="382"/>
      <c r="F72" s="383"/>
      <c r="R72" s="36"/>
      <c r="S72" s="21"/>
      <c r="T72" s="21"/>
      <c r="U72" s="21"/>
    </row>
    <row r="73" spans="1:21" hidden="1">
      <c r="R73" s="36"/>
      <c r="S73" s="21"/>
      <c r="T73" s="21"/>
      <c r="U73" s="21"/>
    </row>
    <row r="74" spans="1:21" hidden="1">
      <c r="A74" s="22"/>
      <c r="B74" s="22"/>
      <c r="C74" s="33"/>
      <c r="D74" s="15"/>
      <c r="E74" s="54"/>
      <c r="F74" s="23"/>
      <c r="G74" s="23"/>
      <c r="H74" s="23"/>
      <c r="I74" s="23"/>
      <c r="J74" s="23"/>
      <c r="K74" s="23"/>
      <c r="L74" s="23"/>
      <c r="M74" s="23"/>
      <c r="N74" s="23"/>
      <c r="O74" s="26"/>
      <c r="P74" s="23"/>
      <c r="Q74" s="55">
        <v>5.59</v>
      </c>
      <c r="R74" s="36"/>
      <c r="S74" s="21"/>
      <c r="T74" s="21"/>
      <c r="U74" s="21"/>
    </row>
    <row r="75" spans="1:21" hidden="1">
      <c r="A75" s="22"/>
      <c r="B75" s="22"/>
      <c r="C75" s="33"/>
      <c r="D75" s="15"/>
      <c r="E75" s="54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55"/>
      <c r="R75" s="36"/>
      <c r="S75" s="21"/>
      <c r="T75" s="21"/>
      <c r="U75" s="21"/>
    </row>
    <row r="76" spans="1:21" hidden="1">
      <c r="A76" s="22"/>
      <c r="B76" s="22"/>
      <c r="C76" s="33"/>
      <c r="D76" s="15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55"/>
      <c r="R76" s="36"/>
      <c r="S76" s="21"/>
      <c r="T76" s="21"/>
      <c r="U76" s="21"/>
    </row>
    <row r="77" spans="1:21" s="30" customFormat="1" hidden="1">
      <c r="A77" s="59"/>
      <c r="B77" s="4"/>
      <c r="C77" s="42"/>
      <c r="D77" s="28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57"/>
      <c r="R77" s="60"/>
      <c r="S77" s="59"/>
      <c r="T77" s="59"/>
      <c r="U77" s="59"/>
    </row>
    <row r="78" spans="1:21" ht="12" hidden="1" thickBot="1">
      <c r="R78" s="36"/>
      <c r="S78" s="21"/>
      <c r="T78" s="21"/>
      <c r="U78" s="21"/>
    </row>
    <row r="79" spans="1:21" ht="12" thickBot="1">
      <c r="A79" s="97" t="s">
        <v>11</v>
      </c>
      <c r="B79" s="98" t="s">
        <v>168</v>
      </c>
      <c r="D79" s="381" t="s">
        <v>18</v>
      </c>
      <c r="E79" s="382"/>
      <c r="F79" s="383"/>
      <c r="R79" s="36"/>
      <c r="S79" s="21"/>
      <c r="T79" s="21"/>
      <c r="U79" s="21"/>
    </row>
    <row r="80" spans="1:21">
      <c r="R80" s="36"/>
      <c r="S80" s="21"/>
      <c r="T80" s="21"/>
      <c r="U80" s="21"/>
    </row>
    <row r="81" spans="1:21">
      <c r="A81" s="22" t="s">
        <v>104</v>
      </c>
      <c r="B81" s="22" t="s">
        <v>35</v>
      </c>
      <c r="C81" s="33">
        <v>150</v>
      </c>
      <c r="D81" s="15">
        <v>50</v>
      </c>
      <c r="E81" s="54">
        <f>+D81/Q81*(CALC!$A$4)</f>
        <v>833.33333333333348</v>
      </c>
      <c r="F81" s="23">
        <v>2500</v>
      </c>
      <c r="G81" s="23">
        <v>3000</v>
      </c>
      <c r="H81" s="23">
        <f>4793*1.045*1.045</f>
        <v>5234.075824999999</v>
      </c>
      <c r="I81" s="23"/>
      <c r="J81" s="23"/>
      <c r="K81" s="23">
        <v>130</v>
      </c>
      <c r="L81" s="23"/>
      <c r="M81" s="23"/>
      <c r="N81" s="23">
        <f>SUM(E81:M81)</f>
        <v>11697.409158333332</v>
      </c>
      <c r="O81" s="26">
        <f>N81/CALC!$A$8*CALC!$A$6</f>
        <v>427.78812043005308</v>
      </c>
      <c r="P81" s="23">
        <f>+N81+O81</f>
        <v>12125.197278763386</v>
      </c>
      <c r="Q81" s="55">
        <v>0.3</v>
      </c>
      <c r="R81" s="36"/>
      <c r="S81" s="21"/>
      <c r="T81" s="21"/>
      <c r="U81" s="21"/>
    </row>
    <row r="82" spans="1:21">
      <c r="A82" s="22"/>
      <c r="B82" s="22"/>
      <c r="C82" s="33"/>
      <c r="D82" s="15"/>
      <c r="E82" s="23"/>
      <c r="F82" s="23"/>
      <c r="G82" s="23"/>
      <c r="H82" s="23"/>
      <c r="I82" s="23"/>
      <c r="J82" s="23"/>
      <c r="K82" s="23"/>
      <c r="L82" s="23"/>
      <c r="M82" s="23"/>
      <c r="N82" s="23">
        <f>SUM(E82:M82)</f>
        <v>0</v>
      </c>
      <c r="O82" s="23"/>
      <c r="P82" s="23">
        <f>+N82+O82</f>
        <v>0</v>
      </c>
      <c r="Q82" s="55"/>
      <c r="R82" s="36"/>
      <c r="S82" s="21"/>
      <c r="T82" s="21"/>
      <c r="U82" s="21"/>
    </row>
    <row r="83" spans="1:21" s="30" customFormat="1">
      <c r="A83" s="59"/>
      <c r="B83" s="4" t="s">
        <v>15</v>
      </c>
      <c r="C83" s="42"/>
      <c r="D83" s="28">
        <f t="shared" ref="D83:N83" si="12">SUM(D81:D82)</f>
        <v>50</v>
      </c>
      <c r="E83" s="26">
        <f t="shared" si="12"/>
        <v>833.33333333333348</v>
      </c>
      <c r="F83" s="26">
        <f t="shared" si="12"/>
        <v>2500</v>
      </c>
      <c r="G83" s="26">
        <f t="shared" si="12"/>
        <v>3000</v>
      </c>
      <c r="H83" s="26">
        <f t="shared" si="12"/>
        <v>5234.075824999999</v>
      </c>
      <c r="I83" s="26">
        <f t="shared" si="12"/>
        <v>0</v>
      </c>
      <c r="J83" s="26">
        <f t="shared" si="12"/>
        <v>0</v>
      </c>
      <c r="K83" s="26">
        <f t="shared" si="12"/>
        <v>130</v>
      </c>
      <c r="L83" s="26">
        <f>SUM(L81:L82)</f>
        <v>0</v>
      </c>
      <c r="M83" s="26"/>
      <c r="N83" s="26">
        <f t="shared" si="12"/>
        <v>11697.409158333332</v>
      </c>
      <c r="O83" s="26">
        <f>N83/CALC!$A$8*CALC!$A$6</f>
        <v>427.78812043005308</v>
      </c>
      <c r="P83" s="26">
        <f>+N83+O83</f>
        <v>12125.197278763386</v>
      </c>
      <c r="Q83" s="57"/>
      <c r="R83" s="197">
        <f>(+P83/D83)*(1+CALC!$A$2)</f>
        <v>249.77906394252577</v>
      </c>
      <c r="S83" s="59"/>
      <c r="T83" s="59"/>
      <c r="U83" s="59"/>
    </row>
    <row r="84" spans="1:21" s="30" customFormat="1" ht="12" thickBot="1">
      <c r="A84" s="59"/>
      <c r="B84" s="59"/>
      <c r="C84" s="63"/>
      <c r="D84" s="64"/>
      <c r="E84" s="65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0"/>
      <c r="S84" s="59"/>
      <c r="T84" s="59"/>
      <c r="U84" s="59"/>
    </row>
    <row r="85" spans="1:21" ht="12" thickBot="1">
      <c r="A85" s="97" t="s">
        <v>11</v>
      </c>
      <c r="B85" s="98" t="s">
        <v>169</v>
      </c>
      <c r="D85" s="381" t="s">
        <v>172</v>
      </c>
      <c r="E85" s="382"/>
      <c r="F85" s="383"/>
      <c r="R85" s="36"/>
      <c r="S85" s="21"/>
      <c r="T85" s="21"/>
      <c r="U85" s="21"/>
    </row>
    <row r="86" spans="1:21">
      <c r="R86" s="36"/>
      <c r="S86" s="21"/>
      <c r="T86" s="21"/>
      <c r="U86" s="21"/>
    </row>
    <row r="87" spans="1:21">
      <c r="A87" s="77" t="s">
        <v>149</v>
      </c>
      <c r="B87" s="22" t="s">
        <v>147</v>
      </c>
      <c r="C87" s="33">
        <v>417</v>
      </c>
      <c r="D87" s="15">
        <v>35000</v>
      </c>
      <c r="E87" s="54">
        <f>+D87/Q87*(CALC!$A$4)</f>
        <v>175000</v>
      </c>
      <c r="F87" s="23"/>
      <c r="G87" s="23">
        <v>9900</v>
      </c>
      <c r="H87" s="23">
        <v>100</v>
      </c>
      <c r="I87" s="23">
        <f>726389/8*0.75</f>
        <v>68098.96875</v>
      </c>
      <c r="J87" s="23">
        <f>Sheet1!H11</f>
        <v>187750.32</v>
      </c>
      <c r="K87" s="23">
        <v>9553</v>
      </c>
      <c r="L87" s="23"/>
      <c r="M87" s="23"/>
      <c r="N87" s="23">
        <f>SUM(E87:M87)</f>
        <v>450402.28875000001</v>
      </c>
      <c r="O87" s="26">
        <f>N87/CALC!$A$8*CALC!$A$6</f>
        <v>16471.745660404813</v>
      </c>
      <c r="P87" s="23">
        <f>+N87+O87</f>
        <v>466874.0344104048</v>
      </c>
      <c r="Q87" s="55">
        <v>1</v>
      </c>
      <c r="R87" s="36"/>
      <c r="S87" s="21"/>
      <c r="T87" s="21"/>
      <c r="U87" s="21"/>
    </row>
    <row r="88" spans="1:21">
      <c r="A88" s="22"/>
      <c r="B88" s="22"/>
      <c r="C88" s="33"/>
      <c r="D88" s="15"/>
      <c r="E88" s="54"/>
      <c r="F88" s="23"/>
      <c r="G88" s="23"/>
      <c r="H88" s="23"/>
      <c r="I88" s="23"/>
      <c r="J88" s="23"/>
      <c r="K88" s="23"/>
      <c r="L88" s="23"/>
      <c r="M88" s="23"/>
      <c r="N88" s="23">
        <f>SUM(E88:M88)</f>
        <v>0</v>
      </c>
      <c r="O88" s="23"/>
      <c r="P88" s="23">
        <f>+N88+O88</f>
        <v>0</v>
      </c>
      <c r="Q88" s="55"/>
      <c r="R88" s="36"/>
      <c r="S88" s="21"/>
      <c r="T88" s="21"/>
      <c r="U88" s="21"/>
    </row>
    <row r="89" spans="1:21" s="30" customFormat="1">
      <c r="A89" s="59"/>
      <c r="B89" s="4" t="s">
        <v>15</v>
      </c>
      <c r="C89" s="42"/>
      <c r="D89" s="28">
        <f t="shared" ref="D89:N89" si="13">SUM(D87:D88)</f>
        <v>35000</v>
      </c>
      <c r="E89" s="26">
        <f t="shared" si="13"/>
        <v>175000</v>
      </c>
      <c r="F89" s="26">
        <f t="shared" si="13"/>
        <v>0</v>
      </c>
      <c r="G89" s="26">
        <f t="shared" si="13"/>
        <v>9900</v>
      </c>
      <c r="H89" s="26">
        <f t="shared" si="13"/>
        <v>100</v>
      </c>
      <c r="I89" s="26">
        <f t="shared" si="13"/>
        <v>68098.96875</v>
      </c>
      <c r="J89" s="26">
        <f t="shared" si="13"/>
        <v>187750.32</v>
      </c>
      <c r="K89" s="26">
        <f t="shared" si="13"/>
        <v>9553</v>
      </c>
      <c r="L89" s="26">
        <f>SUM(L87:L88)</f>
        <v>0</v>
      </c>
      <c r="M89" s="26"/>
      <c r="N89" s="26">
        <f t="shared" si="13"/>
        <v>450402.28875000001</v>
      </c>
      <c r="O89" s="26">
        <f>N89/CALC!$A$8*CALC!$A$6</f>
        <v>16471.745660404813</v>
      </c>
      <c r="P89" s="26">
        <f>+N89+O89</f>
        <v>466874.0344104048</v>
      </c>
      <c r="Q89" s="57"/>
      <c r="R89" s="197">
        <f>(+P89/D89)*(1+CALC!$A$2)</f>
        <v>13.739435869791912</v>
      </c>
      <c r="S89" s="59"/>
      <c r="T89" s="59"/>
      <c r="U89" s="59"/>
    </row>
    <row r="90" spans="1:21" s="30" customFormat="1" ht="12" thickBot="1">
      <c r="A90" s="59"/>
      <c r="B90" s="59"/>
      <c r="C90" s="63"/>
      <c r="D90" s="64"/>
      <c r="E90" s="65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0"/>
      <c r="S90" s="59"/>
      <c r="T90" s="59"/>
      <c r="U90" s="59"/>
    </row>
    <row r="91" spans="1:21" ht="12" thickBot="1">
      <c r="A91" s="97" t="s">
        <v>11</v>
      </c>
      <c r="B91" s="98" t="s">
        <v>210</v>
      </c>
      <c r="D91" s="381" t="s">
        <v>173</v>
      </c>
      <c r="E91" s="382"/>
      <c r="F91" s="383"/>
      <c r="R91" s="36"/>
      <c r="S91" s="21"/>
      <c r="T91" s="21"/>
      <c r="U91" s="21"/>
    </row>
    <row r="92" spans="1:21">
      <c r="R92" s="36"/>
      <c r="S92" s="21"/>
      <c r="T92" s="21"/>
      <c r="U92" s="21"/>
    </row>
    <row r="93" spans="1:21">
      <c r="A93" s="77" t="s">
        <v>150</v>
      </c>
      <c r="B93" s="22" t="s">
        <v>148</v>
      </c>
      <c r="C93" s="33">
        <v>419</v>
      </c>
      <c r="D93" s="15">
        <v>28000</v>
      </c>
      <c r="E93" s="54">
        <f>+D93/Q93*(CALC!$A$4)</f>
        <v>140000</v>
      </c>
      <c r="F93" s="23">
        <v>0</v>
      </c>
      <c r="G93" s="23">
        <v>9900</v>
      </c>
      <c r="H93" s="23">
        <v>100</v>
      </c>
      <c r="I93" s="23">
        <f>902879/8*0.75</f>
        <v>84644.90625</v>
      </c>
      <c r="J93" s="23">
        <f>Sheet1!H14</f>
        <v>176042.76</v>
      </c>
      <c r="K93" s="23">
        <v>9553</v>
      </c>
      <c r="L93" s="23"/>
      <c r="M93" s="23"/>
      <c r="N93" s="23">
        <f>SUM(E93:M93)</f>
        <v>420240.66625000001</v>
      </c>
      <c r="O93" s="26">
        <f>N93/CALC!$A$8*CALC!$A$6</f>
        <v>15368.699368380074</v>
      </c>
      <c r="P93" s="23">
        <f>+N93+O93</f>
        <v>435609.36561838008</v>
      </c>
      <c r="Q93" s="55">
        <v>1</v>
      </c>
      <c r="R93" s="36"/>
      <c r="S93" s="21"/>
      <c r="T93" s="21"/>
      <c r="U93" s="21"/>
    </row>
    <row r="94" spans="1:21">
      <c r="A94" s="22"/>
      <c r="B94" s="22"/>
      <c r="C94" s="33"/>
      <c r="D94" s="15"/>
      <c r="E94" s="23"/>
      <c r="F94" s="23"/>
      <c r="G94" s="23"/>
      <c r="H94" s="23"/>
      <c r="I94" s="23"/>
      <c r="J94" s="23"/>
      <c r="K94" s="23"/>
      <c r="L94" s="23"/>
      <c r="M94" s="23"/>
      <c r="N94" s="23">
        <f>SUM(E94:M94)</f>
        <v>0</v>
      </c>
      <c r="O94" s="23"/>
      <c r="P94" s="23">
        <f>+N94+O94</f>
        <v>0</v>
      </c>
      <c r="Q94" s="55"/>
      <c r="R94" s="36"/>
      <c r="S94" s="21"/>
      <c r="T94" s="21"/>
      <c r="U94" s="21"/>
    </row>
    <row r="95" spans="1:21" s="30" customFormat="1">
      <c r="A95" s="59"/>
      <c r="B95" s="4" t="s">
        <v>15</v>
      </c>
      <c r="C95" s="42"/>
      <c r="D95" s="28">
        <f t="shared" ref="D95:N95" si="14">SUM(D93:D94)</f>
        <v>28000</v>
      </c>
      <c r="E95" s="26">
        <f t="shared" si="14"/>
        <v>140000</v>
      </c>
      <c r="F95" s="26">
        <f t="shared" si="14"/>
        <v>0</v>
      </c>
      <c r="G95" s="26">
        <f t="shared" si="14"/>
        <v>9900</v>
      </c>
      <c r="H95" s="26">
        <f t="shared" si="14"/>
        <v>100</v>
      </c>
      <c r="I95" s="26">
        <f t="shared" si="14"/>
        <v>84644.90625</v>
      </c>
      <c r="J95" s="26">
        <f t="shared" si="14"/>
        <v>176042.76</v>
      </c>
      <c r="K95" s="26">
        <f t="shared" si="14"/>
        <v>9553</v>
      </c>
      <c r="L95" s="26">
        <f>SUM(L93:L94)</f>
        <v>0</v>
      </c>
      <c r="M95" s="26"/>
      <c r="N95" s="26">
        <f t="shared" si="14"/>
        <v>420240.66625000001</v>
      </c>
      <c r="O95" s="26">
        <f>N95/CALC!$A$8*CALC!$A$6</f>
        <v>15368.699368380074</v>
      </c>
      <c r="P95" s="26">
        <f>+N95+O95</f>
        <v>435609.36561838008</v>
      </c>
      <c r="Q95" s="57"/>
      <c r="R95" s="197">
        <f>(+P95/D95)*(1+CALC!$A$2)</f>
        <v>16.024201663818982</v>
      </c>
      <c r="S95" s="59"/>
      <c r="T95" s="59"/>
      <c r="U95" s="59"/>
    </row>
    <row r="96" spans="1:21" ht="12" thickBot="1">
      <c r="R96" s="36"/>
      <c r="S96" s="21"/>
      <c r="T96" s="21"/>
      <c r="U96" s="21"/>
    </row>
    <row r="97" spans="1:21" s="30" customFormat="1" ht="12" thickBot="1">
      <c r="A97" s="66" t="s">
        <v>110</v>
      </c>
      <c r="B97" s="142" t="s">
        <v>15</v>
      </c>
      <c r="C97" s="143"/>
      <c r="D97" s="144">
        <f>+D18+D25+D31+D38+D50+D57+D63+D69+D83+D89+D95+D44</f>
        <v>439650</v>
      </c>
      <c r="E97" s="145">
        <f>+E18+E25+E31+E38+E44+E50+E57+E63+E69+E83+E89+E95</f>
        <v>964232.65645674255</v>
      </c>
      <c r="F97" s="145">
        <f>+F18+F25+F31+F38+F44+F50+F57+F63+F69+F83+F89+F95</f>
        <v>11852.83333075</v>
      </c>
      <c r="G97" s="145">
        <f t="shared" ref="G97:P97" si="15">+G18+G25+G31+G38+G44+G50+G57+G63+G69+G83+G89+G95</f>
        <v>133180.35</v>
      </c>
      <c r="H97" s="145">
        <f t="shared" si="15"/>
        <v>58259.200166249997</v>
      </c>
      <c r="I97" s="145">
        <f t="shared" si="15"/>
        <v>686193.1875</v>
      </c>
      <c r="J97" s="145">
        <f t="shared" si="15"/>
        <v>1571910.3600000003</v>
      </c>
      <c r="K97" s="145">
        <f t="shared" si="15"/>
        <v>33186</v>
      </c>
      <c r="L97" s="145">
        <f t="shared" si="15"/>
        <v>0</v>
      </c>
      <c r="M97" s="145"/>
      <c r="N97" s="145">
        <f t="shared" si="15"/>
        <v>3458814.5874537416</v>
      </c>
      <c r="O97" s="145">
        <f t="shared" si="15"/>
        <v>126492.94995625404</v>
      </c>
      <c r="P97" s="145">
        <f t="shared" si="15"/>
        <v>3585307.5374099966</v>
      </c>
      <c r="Q97" s="58"/>
      <c r="R97" s="58"/>
      <c r="S97" s="59"/>
      <c r="T97" s="59"/>
      <c r="U97" s="59"/>
    </row>
    <row r="98" spans="1:21" s="30" customFormat="1" ht="12" thickBot="1">
      <c r="A98" s="66" t="s">
        <v>136</v>
      </c>
      <c r="B98" s="103" t="s">
        <v>15</v>
      </c>
      <c r="C98" s="104"/>
      <c r="D98" s="105">
        <f>+D7+D8+D9+D13+D14+D15+D22+D23+D29+D35+D36+D48+D55+D61+D67+D81+D87+D93</f>
        <v>326650</v>
      </c>
      <c r="E98" s="106">
        <f>+E7+E8+E9+E13+E14+E15+E22+E23+E29+E35+E36+E48+E55+E61+E67+E81+E87+E93</f>
        <v>814932.30663165497</v>
      </c>
      <c r="F98" s="106">
        <f>+F7+F8+F9+F13+F14+F15+F22+F23+F29+F35+F36+F48+F55+F61+F67+F81+F87+F93</f>
        <v>11852.83333075</v>
      </c>
      <c r="G98" s="106">
        <f t="shared" ref="G98:P98" si="16">+G7+G8+G9+G13+G14+G15+G22+G23+G29+G35+G36+G48+G55+G61+G67+G81+G87+G93</f>
        <v>105195.08000000002</v>
      </c>
      <c r="H98" s="106">
        <f t="shared" si="16"/>
        <v>58259.200166249997</v>
      </c>
      <c r="I98" s="106">
        <f t="shared" si="16"/>
        <v>564192.76500000001</v>
      </c>
      <c r="J98" s="106">
        <f t="shared" si="16"/>
        <v>1246582.44</v>
      </c>
      <c r="K98" s="106">
        <f t="shared" si="16"/>
        <v>30642</v>
      </c>
      <c r="L98" s="106">
        <f t="shared" si="16"/>
        <v>0</v>
      </c>
      <c r="M98" s="106"/>
      <c r="N98" s="106">
        <f t="shared" si="16"/>
        <v>2831656.6251286548</v>
      </c>
      <c r="O98" s="106">
        <f t="shared" si="16"/>
        <v>103557.03976586298</v>
      </c>
      <c r="P98" s="106">
        <f t="shared" si="16"/>
        <v>2935213.664894518</v>
      </c>
      <c r="Q98" s="300"/>
      <c r="R98" s="67"/>
      <c r="S98" s="59"/>
      <c r="T98" s="59"/>
      <c r="U98" s="59"/>
    </row>
    <row r="99" spans="1:21" s="30" customFormat="1" ht="12" thickBot="1">
      <c r="A99" s="66" t="s">
        <v>137</v>
      </c>
      <c r="B99" s="103" t="s">
        <v>15</v>
      </c>
      <c r="C99" s="104"/>
      <c r="D99" s="105">
        <f>+D11+D12</f>
        <v>38000</v>
      </c>
      <c r="E99" s="106">
        <f>+E10+E16+E42</f>
        <v>120814.59270364819</v>
      </c>
      <c r="F99" s="106">
        <f>+F11+F12</f>
        <v>0</v>
      </c>
      <c r="G99" s="106">
        <f t="shared" ref="G99:P99" si="17">+G11+G12</f>
        <v>10964</v>
      </c>
      <c r="H99" s="106">
        <f t="shared" si="17"/>
        <v>0</v>
      </c>
      <c r="I99" s="106">
        <f t="shared" si="17"/>
        <v>40940.834999999999</v>
      </c>
      <c r="J99" s="106">
        <f t="shared" si="17"/>
        <v>82490.16</v>
      </c>
      <c r="K99" s="106">
        <f t="shared" si="17"/>
        <v>1272</v>
      </c>
      <c r="L99" s="106">
        <f t="shared" si="17"/>
        <v>0</v>
      </c>
      <c r="M99" s="106"/>
      <c r="N99" s="106">
        <f t="shared" si="17"/>
        <v>164152.75212143929</v>
      </c>
      <c r="O99" s="106">
        <f t="shared" si="17"/>
        <v>6003.260751413809</v>
      </c>
      <c r="P99" s="106">
        <f t="shared" si="17"/>
        <v>170156.01287285308</v>
      </c>
      <c r="Q99" s="67"/>
      <c r="R99" s="67"/>
      <c r="S99" s="59"/>
      <c r="T99" s="59"/>
      <c r="U99" s="59"/>
    </row>
    <row r="100" spans="1:21" s="30" customFormat="1" ht="12" thickBot="1">
      <c r="A100" s="66" t="s">
        <v>138</v>
      </c>
      <c r="B100" s="103" t="s">
        <v>15</v>
      </c>
      <c r="C100" s="104"/>
      <c r="D100" s="105">
        <f>+D10+D16+D42</f>
        <v>75000</v>
      </c>
      <c r="E100" s="106">
        <f>+E11+E12</f>
        <v>28485.757121439281</v>
      </c>
      <c r="F100" s="106">
        <f>+F10+F16+F42</f>
        <v>0</v>
      </c>
      <c r="G100" s="106">
        <f t="shared" ref="G100:P100" si="18">+G10+G16+G42</f>
        <v>17021.27</v>
      </c>
      <c r="H100" s="106">
        <f t="shared" si="18"/>
        <v>0</v>
      </c>
      <c r="I100" s="106">
        <f t="shared" si="18"/>
        <v>81059.587499999994</v>
      </c>
      <c r="J100" s="106">
        <f t="shared" si="18"/>
        <v>242837.76000000001</v>
      </c>
      <c r="K100" s="106">
        <f t="shared" si="18"/>
        <v>1272</v>
      </c>
      <c r="L100" s="106">
        <f t="shared" si="18"/>
        <v>0</v>
      </c>
      <c r="M100" s="106"/>
      <c r="N100" s="106">
        <f t="shared" si="18"/>
        <v>463005.2102036482</v>
      </c>
      <c r="O100" s="106">
        <f t="shared" si="18"/>
        <v>16932.649438977256</v>
      </c>
      <c r="P100" s="106">
        <f t="shared" si="18"/>
        <v>479937.8596426255</v>
      </c>
      <c r="Q100" s="67"/>
      <c r="R100" s="67"/>
      <c r="S100" s="59"/>
      <c r="T100" s="59"/>
      <c r="U100" s="59"/>
    </row>
    <row r="101" spans="1:21"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29"/>
      <c r="P101" s="29"/>
      <c r="Q101" s="29"/>
      <c r="R101" s="36"/>
      <c r="S101" s="21"/>
      <c r="T101" s="21"/>
      <c r="U101" s="21"/>
    </row>
    <row r="102" spans="1:21">
      <c r="R102" s="36"/>
      <c r="S102" s="21"/>
      <c r="T102" s="21"/>
      <c r="U102" s="21"/>
    </row>
    <row r="103" spans="1:21">
      <c r="R103" s="36"/>
      <c r="S103" s="21"/>
      <c r="T103" s="21"/>
      <c r="U103" s="21"/>
    </row>
    <row r="104" spans="1:21">
      <c r="R104" s="36"/>
      <c r="S104" s="21"/>
      <c r="T104" s="21"/>
      <c r="U104" s="21"/>
    </row>
    <row r="105" spans="1:21">
      <c r="R105" s="36"/>
      <c r="S105" s="21"/>
      <c r="T105" s="21"/>
      <c r="U105" s="21"/>
    </row>
    <row r="106" spans="1:21">
      <c r="R106" s="36"/>
      <c r="S106" s="21"/>
      <c r="T106" s="21"/>
      <c r="U106" s="21"/>
    </row>
    <row r="107" spans="1:21">
      <c r="R107" s="36"/>
      <c r="S107" s="21"/>
      <c r="T107" s="21"/>
      <c r="U107" s="21"/>
    </row>
    <row r="108" spans="1:21">
      <c r="R108" s="36"/>
      <c r="S108" s="21"/>
      <c r="T108" s="21"/>
      <c r="U108" s="21"/>
    </row>
    <row r="109" spans="1:21">
      <c r="R109" s="36"/>
      <c r="S109" s="21"/>
      <c r="T109" s="21"/>
      <c r="U109" s="21"/>
    </row>
    <row r="110" spans="1:21">
      <c r="R110" s="36"/>
      <c r="S110" s="21"/>
      <c r="T110" s="21"/>
      <c r="U110" s="21"/>
    </row>
    <row r="111" spans="1:21">
      <c r="R111" s="36"/>
      <c r="S111" s="21"/>
      <c r="T111" s="21"/>
      <c r="U111" s="21"/>
    </row>
    <row r="112" spans="1:21">
      <c r="R112" s="36"/>
      <c r="S112" s="21"/>
      <c r="T112" s="21"/>
      <c r="U112" s="21"/>
    </row>
    <row r="113" spans="18:21">
      <c r="R113" s="36"/>
      <c r="S113" s="21"/>
      <c r="T113" s="21"/>
      <c r="U113" s="21"/>
    </row>
    <row r="114" spans="18:21">
      <c r="R114" s="36"/>
      <c r="S114" s="21"/>
      <c r="T114" s="21"/>
      <c r="U114" s="21"/>
    </row>
    <row r="115" spans="18:21">
      <c r="R115" s="36"/>
      <c r="S115" s="21"/>
      <c r="T115" s="21"/>
      <c r="U115" s="21"/>
    </row>
    <row r="140" spans="6:6">
      <c r="F140" s="2">
        <f>SUM(F131:F139)</f>
        <v>0</v>
      </c>
    </row>
  </sheetData>
  <mergeCells count="13">
    <mergeCell ref="D53:F53"/>
    <mergeCell ref="D65:F65"/>
    <mergeCell ref="D72:F72"/>
    <mergeCell ref="D91:F91"/>
    <mergeCell ref="D5:F5"/>
    <mergeCell ref="D27:F27"/>
    <mergeCell ref="D59:F59"/>
    <mergeCell ref="D79:F79"/>
    <mergeCell ref="D85:F85"/>
    <mergeCell ref="D20:F20"/>
    <mergeCell ref="D33:F33"/>
    <mergeCell ref="D40:F40"/>
    <mergeCell ref="D46:F46"/>
  </mergeCells>
  <phoneticPr fontId="0" type="noConversion"/>
  <pageMargins left="0" right="0" top="0.39370078740157483" bottom="0" header="0" footer="0"/>
  <pageSetup paperSize="9" scale="75" orientation="landscape" r:id="rId1"/>
  <headerFooter alignWithMargins="0"/>
  <rowBreaks count="1" manualBreakCount="1">
    <brk id="71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9">
    <pageSetUpPr fitToPage="1"/>
  </sheetPr>
  <dimension ref="A1:U84"/>
  <sheetViews>
    <sheetView tabSelected="1" topLeftCell="A42" zoomScale="80" zoomScaleNormal="80" zoomScaleSheetLayoutView="100" workbookViewId="0">
      <selection sqref="A1:O81"/>
    </sheetView>
  </sheetViews>
  <sheetFormatPr defaultColWidth="9.140625" defaultRowHeight="11.25"/>
  <cols>
    <col min="1" max="1" width="17.7109375" style="30" customWidth="1"/>
    <col min="2" max="2" width="16.140625" style="2" customWidth="1"/>
    <col min="3" max="3" width="14" style="2" customWidth="1"/>
    <col min="4" max="4" width="14.140625" style="2" customWidth="1"/>
    <col min="5" max="5" width="14.7109375" style="2" customWidth="1"/>
    <col min="6" max="6" width="12.7109375" style="2" customWidth="1"/>
    <col min="7" max="7" width="12.85546875" style="2" customWidth="1"/>
    <col min="8" max="8" width="14.5703125" style="2" customWidth="1"/>
    <col min="9" max="9" width="13.7109375" style="2" customWidth="1"/>
    <col min="10" max="10" width="14.28515625" style="2" customWidth="1"/>
    <col min="11" max="11" width="12.5703125" style="2" customWidth="1"/>
    <col min="12" max="12" width="13.28515625" style="2" customWidth="1"/>
    <col min="13" max="13" width="12.28515625" style="2" customWidth="1"/>
    <col min="14" max="14" width="12" style="2" customWidth="1"/>
    <col min="15" max="15" width="13.140625" style="2" bestFit="1" customWidth="1"/>
    <col min="16" max="16" width="9.140625" style="2"/>
    <col min="17" max="17" width="11.42578125" style="41" bestFit="1" customWidth="1"/>
    <col min="18" max="21" width="9.140625" style="41"/>
    <col min="22" max="16384" width="9.140625" style="2"/>
  </cols>
  <sheetData>
    <row r="1" spans="1:21">
      <c r="A1" s="1" t="s">
        <v>278</v>
      </c>
      <c r="C1" s="1"/>
    </row>
    <row r="3" spans="1:21">
      <c r="A3" s="3"/>
      <c r="B3" s="3"/>
      <c r="C3" s="134" t="str">
        <f>+MM!B6</f>
        <v>V0152</v>
      </c>
      <c r="D3" s="134" t="str">
        <f>+MM!B13</f>
        <v>V0153</v>
      </c>
      <c r="E3" s="134" t="str">
        <f>+MM!B21</f>
        <v>V0154</v>
      </c>
      <c r="F3" s="134" t="str">
        <f>+MM!B27</f>
        <v>V0103</v>
      </c>
      <c r="G3" s="134"/>
    </row>
    <row r="4" spans="1:21" ht="14.25" customHeight="1">
      <c r="A4" s="4"/>
      <c r="B4" s="5"/>
      <c r="C4" s="6">
        <f>+MM!R11</f>
        <v>3.5306225743917787</v>
      </c>
      <c r="D4" s="6">
        <f>+MM!R19</f>
        <v>11.39834931582946</v>
      </c>
      <c r="E4" s="6">
        <f>+MM!R25</f>
        <v>3.752419205791004</v>
      </c>
      <c r="F4" s="6">
        <f>+MM!R31</f>
        <v>10.546961509841749</v>
      </c>
      <c r="G4" s="6"/>
    </row>
    <row r="5" spans="1:21" s="10" customFormat="1">
      <c r="A5" s="7"/>
      <c r="B5" s="8">
        <f t="shared" ref="B5:B14" si="0">+C5+D5+E5+F5</f>
        <v>150000</v>
      </c>
      <c r="C5" s="8">
        <f>+C9+C11+C13+C7</f>
        <v>60000</v>
      </c>
      <c r="D5" s="8">
        <f t="shared" ref="D5:F5" si="1">+D9+D11+D13+D7</f>
        <v>30000</v>
      </c>
      <c r="E5" s="8">
        <f t="shared" si="1"/>
        <v>20000</v>
      </c>
      <c r="F5" s="8">
        <f t="shared" si="1"/>
        <v>40000</v>
      </c>
      <c r="G5" s="8"/>
      <c r="H5" s="9"/>
      <c r="I5" s="10">
        <f>MM!P34*1.1</f>
        <v>1122122.4721288045</v>
      </c>
      <c r="Q5" s="9"/>
      <c r="R5" s="9"/>
      <c r="S5" s="9"/>
      <c r="T5" s="9"/>
      <c r="U5" s="9"/>
    </row>
    <row r="6" spans="1:21">
      <c r="A6" s="11" t="s">
        <v>77</v>
      </c>
      <c r="B6" s="12">
        <f t="shared" si="0"/>
        <v>1050714.6784478805</v>
      </c>
      <c r="C6" s="12">
        <f>+C8+C10+C12+C14</f>
        <v>211837.35446350672</v>
      </c>
      <c r="D6" s="12">
        <f t="shared" ref="D6:F6" si="2">+D8+D10+D12+D14</f>
        <v>341950.47947488382</v>
      </c>
      <c r="E6" s="12">
        <f t="shared" si="2"/>
        <v>75048.384115820081</v>
      </c>
      <c r="F6" s="12">
        <f t="shared" si="2"/>
        <v>421878.46039366996</v>
      </c>
      <c r="G6" s="12"/>
      <c r="H6" s="13"/>
    </row>
    <row r="7" spans="1:21" s="17" customFormat="1">
      <c r="A7" s="14"/>
      <c r="B7" s="15">
        <f t="shared" si="0"/>
        <v>20000</v>
      </c>
      <c r="C7" s="15">
        <v>0</v>
      </c>
      <c r="D7" s="15"/>
      <c r="E7" s="15">
        <f>+MM!D23</f>
        <v>20000</v>
      </c>
      <c r="F7" s="15"/>
      <c r="G7" s="15"/>
      <c r="H7" s="16"/>
      <c r="Q7" s="16"/>
      <c r="R7" s="16"/>
      <c r="S7" s="16"/>
      <c r="T7" s="16"/>
      <c r="U7" s="16"/>
    </row>
    <row r="8" spans="1:21">
      <c r="A8" s="92" t="s">
        <v>69</v>
      </c>
      <c r="B8" s="137">
        <f t="shared" si="0"/>
        <v>75048.384115820081</v>
      </c>
      <c r="C8" s="132">
        <f>+C7*C4</f>
        <v>0</v>
      </c>
      <c r="D8" s="132">
        <f>+D7*D4</f>
        <v>0</v>
      </c>
      <c r="E8" s="132">
        <f>+E7*E4</f>
        <v>75048.384115820081</v>
      </c>
      <c r="F8" s="132"/>
      <c r="G8" s="132"/>
    </row>
    <row r="9" spans="1:21" s="18" customFormat="1">
      <c r="A9" s="14"/>
      <c r="B9" s="15">
        <f t="shared" si="0"/>
        <v>55000</v>
      </c>
      <c r="C9" s="15">
        <f>+MM!D8</f>
        <v>40000</v>
      </c>
      <c r="D9" s="15">
        <f>+MM!D16</f>
        <v>15000</v>
      </c>
      <c r="E9" s="15"/>
      <c r="F9" s="15"/>
      <c r="G9" s="15"/>
      <c r="Q9" s="41"/>
      <c r="R9" s="41"/>
      <c r="S9" s="41"/>
      <c r="T9" s="41"/>
      <c r="U9" s="41"/>
    </row>
    <row r="10" spans="1:21" s="18" customFormat="1">
      <c r="A10" s="92" t="s">
        <v>120</v>
      </c>
      <c r="B10" s="137">
        <f t="shared" si="0"/>
        <v>312200.14271311305</v>
      </c>
      <c r="C10" s="132">
        <f>+C9*C4</f>
        <v>141224.90297567114</v>
      </c>
      <c r="D10" s="132">
        <f>+D9*D4</f>
        <v>170975.23973744191</v>
      </c>
      <c r="E10" s="132">
        <f t="shared" ref="E10:F10" si="3">+E9*E4</f>
        <v>0</v>
      </c>
      <c r="F10" s="132">
        <f t="shared" si="3"/>
        <v>0</v>
      </c>
      <c r="G10" s="132"/>
      <c r="Q10" s="41"/>
      <c r="R10" s="41"/>
      <c r="S10" s="41"/>
      <c r="T10" s="41"/>
      <c r="U10" s="41"/>
    </row>
    <row r="11" spans="1:21" s="18" customFormat="1">
      <c r="A11" s="14"/>
      <c r="B11" s="15">
        <f t="shared" si="0"/>
        <v>35000</v>
      </c>
      <c r="C11" s="15">
        <f>+MM!D9</f>
        <v>20000</v>
      </c>
      <c r="D11" s="15">
        <f>+MM!D15</f>
        <v>15000</v>
      </c>
      <c r="E11" s="15"/>
      <c r="F11" s="15"/>
      <c r="G11" s="15"/>
      <c r="Q11" s="41"/>
      <c r="R11" s="41"/>
      <c r="S11" s="41"/>
      <c r="T11" s="41"/>
      <c r="U11" s="41"/>
    </row>
    <row r="12" spans="1:21" s="18" customFormat="1">
      <c r="A12" s="92" t="s">
        <v>121</v>
      </c>
      <c r="B12" s="137">
        <f t="shared" si="0"/>
        <v>241587.69122527749</v>
      </c>
      <c r="C12" s="132">
        <f>+C11*C4</f>
        <v>70612.451487835569</v>
      </c>
      <c r="D12" s="132">
        <f t="shared" ref="D12:F12" si="4">+D11*D4</f>
        <v>170975.23973744191</v>
      </c>
      <c r="E12" s="132">
        <f t="shared" si="4"/>
        <v>0</v>
      </c>
      <c r="F12" s="132">
        <f t="shared" si="4"/>
        <v>0</v>
      </c>
      <c r="G12" s="132"/>
      <c r="Q12" s="41"/>
      <c r="R12" s="41"/>
      <c r="S12" s="41"/>
      <c r="T12" s="41"/>
      <c r="U12" s="41"/>
    </row>
    <row r="13" spans="1:21" s="18" customFormat="1">
      <c r="A13" s="14"/>
      <c r="B13" s="15">
        <f t="shared" si="0"/>
        <v>40000</v>
      </c>
      <c r="C13" s="15"/>
      <c r="D13" s="15"/>
      <c r="E13" s="15"/>
      <c r="F13" s="15">
        <f>+MM!D29</f>
        <v>40000</v>
      </c>
      <c r="G13" s="15"/>
      <c r="Q13" s="41"/>
      <c r="R13" s="41"/>
      <c r="S13" s="41"/>
      <c r="T13" s="41"/>
      <c r="U13" s="41"/>
    </row>
    <row r="14" spans="1:21" s="18" customFormat="1">
      <c r="A14" s="92" t="s">
        <v>263</v>
      </c>
      <c r="B14" s="137">
        <f t="shared" si="0"/>
        <v>421878.46039366996</v>
      </c>
      <c r="C14" s="132"/>
      <c r="D14" s="132"/>
      <c r="E14" s="132"/>
      <c r="F14" s="132">
        <f>+F13*F4</f>
        <v>421878.46039366996</v>
      </c>
      <c r="G14" s="132"/>
      <c r="Q14" s="41"/>
      <c r="R14" s="41"/>
      <c r="S14" s="41"/>
      <c r="T14" s="41"/>
      <c r="U14" s="41"/>
    </row>
    <row r="15" spans="1:21" s="18" customFormat="1">
      <c r="A15" s="19"/>
      <c r="B15" s="148"/>
      <c r="Q15" s="41"/>
      <c r="R15" s="41"/>
      <c r="S15" s="41"/>
      <c r="T15" s="41"/>
      <c r="U15" s="41"/>
    </row>
    <row r="16" spans="1:21">
      <c r="A16" s="20"/>
      <c r="B16" s="20"/>
      <c r="C16" s="135" t="str">
        <f>+finance!B7</f>
        <v>V0150</v>
      </c>
      <c r="D16" s="135"/>
    </row>
    <row r="17" spans="1:21">
      <c r="A17" s="4"/>
      <c r="B17" s="302"/>
      <c r="C17" s="23">
        <f>+finance!R12</f>
        <v>1.4649299088892074</v>
      </c>
      <c r="D17" s="23"/>
    </row>
    <row r="18" spans="1:21" s="17" customFormat="1">
      <c r="A18" s="14"/>
      <c r="B18" s="15">
        <f>+C18</f>
        <v>20000</v>
      </c>
      <c r="C18" s="15">
        <f>+finance!D16</f>
        <v>20000</v>
      </c>
      <c r="D18" s="15"/>
      <c r="Q18" s="16"/>
      <c r="R18" s="16"/>
      <c r="S18" s="16"/>
      <c r="T18" s="16"/>
      <c r="U18" s="16"/>
    </row>
    <row r="19" spans="1:21">
      <c r="A19" s="92" t="s">
        <v>257</v>
      </c>
      <c r="B19" s="138">
        <f>+C19</f>
        <v>29298.598177784148</v>
      </c>
      <c r="C19" s="132">
        <f>+$C$17*$C$18</f>
        <v>29298.598177784148</v>
      </c>
      <c r="D19" s="132"/>
      <c r="E19" s="46"/>
      <c r="I19" s="2">
        <f>CEM!P132*1.1</f>
        <v>31289.765044235497</v>
      </c>
    </row>
    <row r="21" spans="1:21">
      <c r="A21" s="25"/>
      <c r="B21" s="25"/>
      <c r="C21" s="135" t="str">
        <f>+workshop!B6</f>
        <v>V0155</v>
      </c>
      <c r="D21" s="135" t="str">
        <f>+workshop!B13</f>
        <v>V0156</v>
      </c>
    </row>
    <row r="22" spans="1:21">
      <c r="A22" s="4"/>
      <c r="B22" s="22"/>
      <c r="C22" s="23">
        <f>+workshop!R11</f>
        <v>5.6951786435753844</v>
      </c>
      <c r="D22" s="23">
        <f>+workshop!R18</f>
        <v>9.1706784176374576</v>
      </c>
    </row>
    <row r="23" spans="1:21" s="17" customFormat="1">
      <c r="A23" s="14"/>
      <c r="B23" s="15">
        <f>+C23+D23</f>
        <v>27000</v>
      </c>
      <c r="C23" s="15">
        <f>+workshop!D11</f>
        <v>15000</v>
      </c>
      <c r="D23" s="15">
        <f>+workshop!D18</f>
        <v>12000</v>
      </c>
      <c r="Q23" s="16"/>
      <c r="R23" s="16"/>
      <c r="S23" s="16"/>
      <c r="T23" s="16"/>
      <c r="U23" s="16"/>
    </row>
    <row r="24" spans="1:21">
      <c r="A24" s="92" t="s">
        <v>70</v>
      </c>
      <c r="B24" s="132">
        <f>+C24+D24</f>
        <v>195475.82066528028</v>
      </c>
      <c r="C24" s="132">
        <f>+$C$22*$C$23</f>
        <v>85427.679653630767</v>
      </c>
      <c r="D24" s="132">
        <f>+$D$22*$D$23</f>
        <v>110048.1410116495</v>
      </c>
      <c r="I24" s="2">
        <f>CEM!P133*1.1</f>
        <v>208760.58517651292</v>
      </c>
    </row>
    <row r="25" spans="1:21">
      <c r="I25" s="41"/>
      <c r="J25" s="41"/>
      <c r="K25" s="41"/>
      <c r="L25" s="41"/>
    </row>
    <row r="26" spans="1:21" s="1" customFormat="1">
      <c r="A26" s="25"/>
      <c r="B26" s="25"/>
      <c r="C26" s="135" t="str">
        <f>+'COMMUNITY SERV'!B5</f>
        <v>V0157</v>
      </c>
      <c r="D26" s="135" t="str">
        <f>+'COMMUNITY SERV'!B12</f>
        <v>V0158</v>
      </c>
      <c r="E26" s="135" t="str">
        <f>+'COMMUNITY SERV'!B21</f>
        <v>V0159</v>
      </c>
      <c r="F26" s="135" t="str">
        <f>+'COMMUNITY SERV'!B29</f>
        <v>V0160</v>
      </c>
      <c r="G26" s="135" t="str">
        <f>+'COMMUNITY SERV'!B35</f>
        <v>V0161</v>
      </c>
      <c r="H26" s="135" t="str">
        <f>+'COMMUNITY SERV'!B42</f>
        <v>V0111</v>
      </c>
      <c r="I26" s="314"/>
      <c r="J26" s="314"/>
      <c r="K26" s="314"/>
      <c r="L26" s="314"/>
      <c r="Q26" s="314"/>
      <c r="R26" s="314"/>
      <c r="S26" s="314"/>
      <c r="T26" s="314"/>
      <c r="U26" s="314"/>
    </row>
    <row r="27" spans="1:21" s="27" customFormat="1">
      <c r="A27" s="26"/>
      <c r="B27" s="23"/>
      <c r="C27" s="23">
        <f>+'COMMUNITY SERV'!R9</f>
        <v>4.9099564692363549</v>
      </c>
      <c r="D27" s="23">
        <f>+'COMMUNITY SERV'!R18</f>
        <v>12.44700941303388</v>
      </c>
      <c r="E27" s="23">
        <f>+'COMMUNITY SERV'!R27</f>
        <v>16.339081796826946</v>
      </c>
      <c r="F27" s="23">
        <f>+'COMMUNITY SERV'!R33</f>
        <v>16.194319780998057</v>
      </c>
      <c r="G27" s="23">
        <f>+'COMMUNITY SERV'!R40</f>
        <v>27.789085286921939</v>
      </c>
      <c r="H27" s="23">
        <f>+'COMMUNITY SERV'!R51</f>
        <v>61.432854056609251</v>
      </c>
      <c r="I27" s="13"/>
      <c r="J27" s="13"/>
      <c r="K27" s="13"/>
      <c r="L27" s="13"/>
      <c r="Q27" s="13"/>
      <c r="R27" s="13"/>
      <c r="S27" s="13"/>
      <c r="T27" s="13"/>
      <c r="U27" s="13"/>
    </row>
    <row r="28" spans="1:21" s="29" customFormat="1">
      <c r="A28" s="28"/>
      <c r="B28" s="15">
        <f>+C28+D28+E28+F28+G28+H28</f>
        <v>116800</v>
      </c>
      <c r="C28" s="15">
        <f>+'COMMUNITY SERV'!D9</f>
        <v>20000</v>
      </c>
      <c r="D28" s="15">
        <f>+'COMMUNITY SERV'!D18</f>
        <v>35000</v>
      </c>
      <c r="E28" s="15">
        <f>+'COMMUNITY SERV'!D27</f>
        <v>25000</v>
      </c>
      <c r="F28" s="15">
        <f>+'COMMUNITY SERV'!D33</f>
        <v>15000</v>
      </c>
      <c r="G28" s="15">
        <f>+'COMMUNITY SERV'!D40</f>
        <v>20000</v>
      </c>
      <c r="H28" s="15">
        <f>+'COMMUNITY SERV'!D51</f>
        <v>1800</v>
      </c>
      <c r="I28" s="38"/>
      <c r="J28" s="38"/>
      <c r="K28" s="38"/>
      <c r="L28" s="38"/>
      <c r="Q28" s="38"/>
      <c r="R28" s="38"/>
      <c r="S28" s="38"/>
      <c r="T28" s="38"/>
      <c r="U28" s="38"/>
    </row>
    <row r="29" spans="1:21" s="27" customFormat="1">
      <c r="A29" s="95" t="s">
        <v>71</v>
      </c>
      <c r="B29" s="133">
        <f>+C29+D29+E29+F29+G29+H29</f>
        <v>1851597.1435168928</v>
      </c>
      <c r="C29" s="132">
        <f>+C28*C27</f>
        <v>98199.129384727101</v>
      </c>
      <c r="D29" s="132">
        <f t="shared" ref="D29:H29" si="5">+D28*D27</f>
        <v>435645.32945618581</v>
      </c>
      <c r="E29" s="132">
        <f t="shared" si="5"/>
        <v>408477.04492067365</v>
      </c>
      <c r="F29" s="132">
        <f t="shared" si="5"/>
        <v>242914.79671497087</v>
      </c>
      <c r="G29" s="132">
        <f t="shared" si="5"/>
        <v>555781.70573843876</v>
      </c>
      <c r="H29" s="132">
        <f t="shared" si="5"/>
        <v>110579.13730189666</v>
      </c>
      <c r="I29" s="13"/>
      <c r="J29" s="13"/>
      <c r="K29" s="13"/>
      <c r="L29" s="13"/>
      <c r="Q29" s="13"/>
      <c r="R29" s="13"/>
      <c r="S29" s="13"/>
      <c r="T29" s="13"/>
      <c r="U29" s="13"/>
    </row>
    <row r="30" spans="1:21">
      <c r="B30" s="10"/>
      <c r="I30" s="41"/>
      <c r="J30" s="16"/>
      <c r="K30" s="41"/>
      <c r="L30" s="41"/>
    </row>
    <row r="31" spans="1:21" s="1" customFormat="1">
      <c r="A31" s="25"/>
      <c r="B31" s="31"/>
      <c r="C31" s="135" t="str">
        <f>+'COMMUNITY SERV'!B67</f>
        <v>V0162</v>
      </c>
      <c r="D31" s="314"/>
      <c r="E31" s="314"/>
      <c r="F31" s="32"/>
      <c r="I31" s="314"/>
      <c r="J31" s="314"/>
      <c r="K31" s="314"/>
      <c r="L31" s="314"/>
      <c r="Q31" s="314"/>
      <c r="R31" s="314"/>
      <c r="S31" s="314"/>
      <c r="T31" s="314"/>
      <c r="U31" s="314"/>
    </row>
    <row r="32" spans="1:21">
      <c r="A32" s="4"/>
      <c r="B32" s="33"/>
      <c r="C32" s="23">
        <f>+'COMMUNITY SERV'!R72</f>
        <v>5.669404754406167</v>
      </c>
      <c r="D32" s="13"/>
      <c r="E32" s="13"/>
      <c r="F32" s="21"/>
    </row>
    <row r="33" spans="1:21" s="17" customFormat="1">
      <c r="A33" s="28"/>
      <c r="B33" s="15">
        <f>+C33+D33+E33+F33</f>
        <v>30000</v>
      </c>
      <c r="C33" s="15">
        <f>+'COMMUNITY SERV'!D72</f>
        <v>30000</v>
      </c>
      <c r="D33" s="38"/>
      <c r="E33" s="38"/>
      <c r="F33" s="24"/>
      <c r="Q33" s="16"/>
      <c r="R33" s="16"/>
      <c r="S33" s="16"/>
      <c r="T33" s="16"/>
      <c r="U33" s="16"/>
    </row>
    <row r="34" spans="1:21">
      <c r="A34" s="95" t="s">
        <v>327</v>
      </c>
      <c r="B34" s="133">
        <f>+C34+D34+E34+F34</f>
        <v>170082.14263218502</v>
      </c>
      <c r="C34" s="132">
        <f>+C32*C33</f>
        <v>170082.14263218502</v>
      </c>
      <c r="D34" s="13"/>
      <c r="E34" s="13"/>
      <c r="F34" s="21"/>
    </row>
    <row r="36" spans="1:21" s="1" customFormat="1">
      <c r="A36" s="25"/>
      <c r="B36" s="25"/>
      <c r="C36" s="135" t="str">
        <f>+'COMMUNITY SERV'!B86</f>
        <v>V0116</v>
      </c>
      <c r="D36" s="135" t="str">
        <f>+'COMMUNITY SERV'!B98</f>
        <v>V0163</v>
      </c>
      <c r="E36" s="135" t="str">
        <f>+'COMMUNITY SERV'!B104</f>
        <v>V0164</v>
      </c>
      <c r="F36" s="135" t="str">
        <f>+'COMMUNITY SERV'!B112</f>
        <v>V0165</v>
      </c>
      <c r="G36" s="135" t="str">
        <f>+'COMMUNITY SERV'!B119</f>
        <v>V0166</v>
      </c>
      <c r="H36" s="135" t="str">
        <f>+'COMMUNITY SERV'!B126</f>
        <v>V0167</v>
      </c>
      <c r="I36" s="135" t="str">
        <f>+'COMMUNITY SERV'!B134</f>
        <v>V0168</v>
      </c>
      <c r="Q36" s="314"/>
      <c r="R36" s="314"/>
      <c r="S36" s="314"/>
      <c r="T36" s="314"/>
      <c r="U36" s="314"/>
    </row>
    <row r="37" spans="1:21" s="27" customFormat="1">
      <c r="A37" s="26"/>
      <c r="B37" s="23"/>
      <c r="C37" s="23">
        <f>+'COMMUNITY SERV'!R96</f>
        <v>9.5814046404610629</v>
      </c>
      <c r="D37" s="23">
        <f>+'COMMUNITY SERV'!R102</f>
        <v>6.4616758616352472</v>
      </c>
      <c r="E37" s="23">
        <f>+'COMMUNITY SERV'!R110</f>
        <v>4.5644208026923492</v>
      </c>
      <c r="F37" s="23">
        <f>+'COMMUNITY SERV'!R117</f>
        <v>3.2035478057680442</v>
      </c>
      <c r="G37" s="23">
        <f>+'COMMUNITY SERV'!R124</f>
        <v>4.1325255508123337</v>
      </c>
      <c r="H37" s="23">
        <f>+'COMMUNITY SERV'!R132</f>
        <v>7.0190609985795493</v>
      </c>
      <c r="I37" s="23">
        <f>+'COMMUNITY SERV'!R139</f>
        <v>40.960509033017821</v>
      </c>
      <c r="Q37" s="13"/>
      <c r="R37" s="13"/>
      <c r="S37" s="13"/>
      <c r="T37" s="13"/>
      <c r="U37" s="13"/>
    </row>
    <row r="38" spans="1:21" s="17" customFormat="1">
      <c r="A38" s="28"/>
      <c r="B38" s="15">
        <f>+C38+D38+E38+F38+G38+H38+I38</f>
        <v>417000</v>
      </c>
      <c r="C38" s="15">
        <f>+'COMMUNITY SERV'!D96</f>
        <v>190000</v>
      </c>
      <c r="D38" s="15">
        <f>+'COMMUNITY SERV'!D102</f>
        <v>15000</v>
      </c>
      <c r="E38" s="15">
        <f>+'COMMUNITY SERV'!D110</f>
        <v>60000</v>
      </c>
      <c r="F38" s="15">
        <f>+'COMMUNITY SERV'!D114</f>
        <v>30000</v>
      </c>
      <c r="G38" s="15">
        <f>+'COMMUNITY SERV'!D124</f>
        <v>30000</v>
      </c>
      <c r="H38" s="15">
        <f>+'COMMUNITY SERV'!D132</f>
        <v>72000</v>
      </c>
      <c r="I38" s="15">
        <f>+'COMMUNITY SERV'!D139</f>
        <v>20000</v>
      </c>
      <c r="Q38" s="16"/>
      <c r="R38" s="16"/>
      <c r="S38" s="16"/>
      <c r="T38" s="16"/>
      <c r="U38" s="16"/>
    </row>
    <row r="39" spans="1:21" s="17" customFormat="1">
      <c r="A39" s="28" t="s">
        <v>77</v>
      </c>
      <c r="B39" s="15">
        <f>+C39+D39+E39+F39+G39+H39+I39</f>
        <v>3735922.0410291669</v>
      </c>
      <c r="C39" s="15">
        <f>+C38*C37</f>
        <v>1820466.881687602</v>
      </c>
      <c r="D39" s="15">
        <f t="shared" ref="D39:I39" si="6">+D38*D37</f>
        <v>96925.13792452871</v>
      </c>
      <c r="E39" s="15">
        <f t="shared" si="6"/>
        <v>273865.24816154095</v>
      </c>
      <c r="F39" s="15">
        <f t="shared" si="6"/>
        <v>96106.434173041329</v>
      </c>
      <c r="G39" s="15">
        <f t="shared" si="6"/>
        <v>123975.76652437002</v>
      </c>
      <c r="H39" s="15">
        <f t="shared" si="6"/>
        <v>505372.39189772756</v>
      </c>
      <c r="I39" s="15">
        <f t="shared" si="6"/>
        <v>819210.18066035642</v>
      </c>
      <c r="Q39" s="16"/>
      <c r="R39" s="16"/>
      <c r="S39" s="16"/>
      <c r="T39" s="16"/>
      <c r="U39" s="16"/>
    </row>
    <row r="40" spans="1:21" s="29" customFormat="1">
      <c r="A40" s="327" t="s">
        <v>704</v>
      </c>
      <c r="B40" s="15">
        <f t="shared" ref="B40:B45" si="7">+C40+D40+E40+F40+G40+H40+I40</f>
        <v>250200</v>
      </c>
      <c r="C40" s="15">
        <f t="shared" ref="C40:I40" si="8">+C38*60%</f>
        <v>114000</v>
      </c>
      <c r="D40" s="15">
        <f t="shared" si="8"/>
        <v>9000</v>
      </c>
      <c r="E40" s="15">
        <f t="shared" si="8"/>
        <v>36000</v>
      </c>
      <c r="F40" s="15">
        <f t="shared" si="8"/>
        <v>18000</v>
      </c>
      <c r="G40" s="15">
        <f t="shared" si="8"/>
        <v>18000</v>
      </c>
      <c r="H40" s="15">
        <f t="shared" si="8"/>
        <v>43200</v>
      </c>
      <c r="I40" s="15">
        <f t="shared" si="8"/>
        <v>12000</v>
      </c>
      <c r="N40" s="29">
        <f>B58+B63</f>
        <v>276069</v>
      </c>
      <c r="Q40" s="38"/>
      <c r="R40" s="38"/>
      <c r="S40" s="38"/>
      <c r="T40" s="38"/>
      <c r="U40" s="38"/>
    </row>
    <row r="41" spans="1:21">
      <c r="A41" s="95" t="s">
        <v>74</v>
      </c>
      <c r="B41" s="15">
        <f t="shared" si="7"/>
        <v>2241553.2246174999</v>
      </c>
      <c r="C41" s="133">
        <f t="shared" ref="C41:I41" si="9">+C39*60%</f>
        <v>1092280.1290125612</v>
      </c>
      <c r="D41" s="133">
        <f t="shared" si="9"/>
        <v>58155.082754717223</v>
      </c>
      <c r="E41" s="133">
        <f t="shared" si="9"/>
        <v>164319.14889692457</v>
      </c>
      <c r="F41" s="133">
        <f t="shared" si="9"/>
        <v>57663.860503824799</v>
      </c>
      <c r="G41" s="133">
        <f t="shared" si="9"/>
        <v>74385.459914622013</v>
      </c>
      <c r="H41" s="133">
        <f t="shared" si="9"/>
        <v>303223.4351386365</v>
      </c>
      <c r="I41" s="133">
        <f t="shared" si="9"/>
        <v>491526.10839621385</v>
      </c>
    </row>
    <row r="42" spans="1:21" s="29" customFormat="1">
      <c r="A42" s="327" t="s">
        <v>79</v>
      </c>
      <c r="B42" s="15">
        <f t="shared" si="7"/>
        <v>125100</v>
      </c>
      <c r="C42" s="15">
        <f>+C38*30%</f>
        <v>57000</v>
      </c>
      <c r="D42" s="15">
        <f t="shared" ref="D42:I42" si="10">+D38*30%</f>
        <v>4500</v>
      </c>
      <c r="E42" s="15">
        <f t="shared" si="10"/>
        <v>18000</v>
      </c>
      <c r="F42" s="15">
        <f t="shared" si="10"/>
        <v>9000</v>
      </c>
      <c r="G42" s="15">
        <f t="shared" si="10"/>
        <v>9000</v>
      </c>
      <c r="H42" s="15">
        <f t="shared" si="10"/>
        <v>21600</v>
      </c>
      <c r="I42" s="15">
        <f t="shared" si="10"/>
        <v>6000</v>
      </c>
      <c r="Q42" s="38"/>
      <c r="R42" s="38"/>
      <c r="S42" s="38"/>
      <c r="T42" s="38"/>
      <c r="U42" s="38"/>
    </row>
    <row r="43" spans="1:21">
      <c r="A43" s="95" t="s">
        <v>72</v>
      </c>
      <c r="B43" s="15">
        <f t="shared" si="7"/>
        <v>1120776.6123087499</v>
      </c>
      <c r="C43" s="132">
        <f>+C39*30%</f>
        <v>546140.06450628059</v>
      </c>
      <c r="D43" s="132">
        <f t="shared" ref="D43:I43" si="11">+D39*30%</f>
        <v>29077.541377358611</v>
      </c>
      <c r="E43" s="132">
        <f t="shared" si="11"/>
        <v>82159.574448462285</v>
      </c>
      <c r="F43" s="132">
        <f t="shared" si="11"/>
        <v>28831.930251912399</v>
      </c>
      <c r="G43" s="132">
        <f t="shared" si="11"/>
        <v>37192.729957311007</v>
      </c>
      <c r="H43" s="132">
        <f t="shared" si="11"/>
        <v>151611.71756931825</v>
      </c>
      <c r="I43" s="132">
        <f t="shared" si="11"/>
        <v>245763.05419810693</v>
      </c>
    </row>
    <row r="44" spans="1:21" s="39" customFormat="1" ht="12" customHeight="1">
      <c r="A44" s="328" t="s">
        <v>705</v>
      </c>
      <c r="B44" s="15">
        <f t="shared" si="7"/>
        <v>41700</v>
      </c>
      <c r="C44" s="70">
        <f>+C38*10%</f>
        <v>19000</v>
      </c>
      <c r="D44" s="70">
        <f t="shared" ref="D44:I44" si="12">+D38*10%</f>
        <v>1500</v>
      </c>
      <c r="E44" s="70">
        <f t="shared" si="12"/>
        <v>6000</v>
      </c>
      <c r="F44" s="70">
        <f t="shared" si="12"/>
        <v>3000</v>
      </c>
      <c r="G44" s="70">
        <f t="shared" si="12"/>
        <v>3000</v>
      </c>
      <c r="H44" s="70">
        <f t="shared" si="12"/>
        <v>7200</v>
      </c>
      <c r="I44" s="70">
        <f t="shared" si="12"/>
        <v>2000</v>
      </c>
      <c r="Q44" s="38"/>
      <c r="R44" s="38"/>
      <c r="S44" s="38"/>
      <c r="T44" s="38"/>
      <c r="U44" s="38"/>
    </row>
    <row r="45" spans="1:21">
      <c r="A45" s="95" t="s">
        <v>73</v>
      </c>
      <c r="B45" s="15">
        <f t="shared" si="7"/>
        <v>373592.2041029167</v>
      </c>
      <c r="C45" s="132">
        <f>+C39*10%</f>
        <v>182046.68816876021</v>
      </c>
      <c r="D45" s="132">
        <f t="shared" ref="D45:I45" si="13">+D39*10%</f>
        <v>9692.5137924528717</v>
      </c>
      <c r="E45" s="132">
        <f t="shared" si="13"/>
        <v>27386.524816154095</v>
      </c>
      <c r="F45" s="132">
        <f t="shared" si="13"/>
        <v>9610.6434173041325</v>
      </c>
      <c r="G45" s="132">
        <f t="shared" si="13"/>
        <v>12397.576652437003</v>
      </c>
      <c r="H45" s="132">
        <f t="shared" si="13"/>
        <v>50537.239189772758</v>
      </c>
      <c r="I45" s="132">
        <f t="shared" si="13"/>
        <v>81921.018066035642</v>
      </c>
    </row>
    <row r="46" spans="1:21" s="18" customFormat="1">
      <c r="A46" s="75"/>
      <c r="B46" s="16"/>
      <c r="C46" s="16"/>
      <c r="D46" s="16"/>
      <c r="E46" s="16"/>
      <c r="F46" s="16"/>
      <c r="G46" s="16"/>
      <c r="H46" s="16"/>
      <c r="Q46" s="41"/>
      <c r="R46" s="41"/>
      <c r="S46" s="41"/>
      <c r="T46" s="41"/>
      <c r="U46" s="41"/>
    </row>
    <row r="47" spans="1:21">
      <c r="A47" s="4"/>
      <c r="B47" s="22"/>
      <c r="C47" s="135" t="str">
        <f>+EEM!B5</f>
        <v>V0169</v>
      </c>
      <c r="D47" s="135" t="str">
        <f>+EEM!B12</f>
        <v>V0170</v>
      </c>
      <c r="E47" s="135" t="str">
        <f>+EEM!B22</f>
        <v>V0171</v>
      </c>
      <c r="F47" s="135" t="str">
        <f>+EEM!B42</f>
        <v>V0124</v>
      </c>
      <c r="G47" s="135" t="str">
        <f>+EEM!B49</f>
        <v>V0125</v>
      </c>
      <c r="H47" s="135" t="str">
        <f>+EEM!B55</f>
        <v>V0172</v>
      </c>
      <c r="I47" s="135" t="str">
        <f>+EEM!B63</f>
        <v>V0173</v>
      </c>
      <c r="J47" s="135" t="str">
        <f>+EEM!B70</f>
        <v>V0174</v>
      </c>
      <c r="K47" s="135" t="str">
        <f>+EEM!B75</f>
        <v>V0175</v>
      </c>
      <c r="L47" s="135" t="str">
        <f>+EEM!B83</f>
        <v>V0187</v>
      </c>
    </row>
    <row r="48" spans="1:21" s="27" customFormat="1">
      <c r="A48" s="26"/>
      <c r="B48" s="23"/>
      <c r="C48" s="23">
        <f>+EEM!R10</f>
        <v>4.5275271501733325</v>
      </c>
      <c r="D48" s="23">
        <f>+EEM!R19</f>
        <v>9.2123562213831196</v>
      </c>
      <c r="E48" s="23">
        <f>+EEM!R40</f>
        <v>4.3898520906241032</v>
      </c>
      <c r="F48" s="23">
        <f>+EEM!R46</f>
        <v>211.31291410921483</v>
      </c>
      <c r="G48" s="23">
        <f>+EEM!R53</f>
        <v>149.08762262551392</v>
      </c>
      <c r="H48" s="23">
        <f>+EEM!R62</f>
        <v>20.477230430513181</v>
      </c>
      <c r="I48" s="23">
        <f>+EEM!R68</f>
        <v>23.778341905469205</v>
      </c>
      <c r="J48" s="23">
        <f>+EEM!R74</f>
        <v>35.17013725754483</v>
      </c>
      <c r="K48" s="23">
        <f>+EEM!R81</f>
        <v>30.9738191710214</v>
      </c>
      <c r="L48" s="23">
        <f>+EEM!R87</f>
        <v>25.485690533223565</v>
      </c>
      <c r="Q48" s="13"/>
      <c r="R48" s="13"/>
      <c r="S48" s="13"/>
      <c r="T48" s="13"/>
      <c r="U48" s="13"/>
    </row>
    <row r="49" spans="1:21" s="136" customFormat="1">
      <c r="A49" s="139"/>
      <c r="B49" s="140">
        <f>+C49+D49+E49+F49+G49+H49+I49+J49+K49+L49</f>
        <v>633350</v>
      </c>
      <c r="C49" s="140">
        <f>+EEM!D10</f>
        <v>20000</v>
      </c>
      <c r="D49" s="140">
        <f>+EEM!D19</f>
        <v>75000</v>
      </c>
      <c r="E49" s="140">
        <f>+EEM!D40</f>
        <v>425000</v>
      </c>
      <c r="F49" s="140">
        <f>+EEM!D46</f>
        <v>50</v>
      </c>
      <c r="G49" s="140">
        <f>+EEM!D53</f>
        <v>300</v>
      </c>
      <c r="H49" s="140">
        <f>+EEM!D62</f>
        <v>40000</v>
      </c>
      <c r="I49" s="140">
        <f>+EEM!D68</f>
        <v>18000</v>
      </c>
      <c r="J49" s="140">
        <f>+EEM!D74</f>
        <v>10000</v>
      </c>
      <c r="K49" s="140">
        <f>+EEM!D81</f>
        <v>25000</v>
      </c>
      <c r="L49" s="140">
        <f>+EEM!D85</f>
        <v>20000</v>
      </c>
      <c r="Q49" s="315"/>
      <c r="R49" s="315"/>
      <c r="S49" s="315"/>
      <c r="T49" s="315"/>
      <c r="U49" s="315"/>
    </row>
    <row r="50" spans="1:21">
      <c r="A50" s="134" t="s">
        <v>77</v>
      </c>
      <c r="B50" s="141">
        <f>B52+B54</f>
        <v>5585316.3646499868</v>
      </c>
      <c r="C50" s="141">
        <f>+C48*C49</f>
        <v>90550.54300346665</v>
      </c>
      <c r="D50" s="141">
        <f t="shared" ref="D50:L50" si="14">+D48*D49</f>
        <v>690926.71660373395</v>
      </c>
      <c r="E50" s="141">
        <f t="shared" si="14"/>
        <v>1865687.1385152438</v>
      </c>
      <c r="F50" s="141">
        <f t="shared" si="14"/>
        <v>10565.645705460742</v>
      </c>
      <c r="G50" s="141">
        <f t="shared" si="14"/>
        <v>44726.286787654171</v>
      </c>
      <c r="H50" s="141">
        <f t="shared" si="14"/>
        <v>819089.21722052724</v>
      </c>
      <c r="I50" s="141">
        <f t="shared" si="14"/>
        <v>428010.15429844568</v>
      </c>
      <c r="J50" s="141">
        <f t="shared" si="14"/>
        <v>351701.3725754483</v>
      </c>
      <c r="K50" s="141">
        <f t="shared" si="14"/>
        <v>774345.47927553498</v>
      </c>
      <c r="L50" s="141">
        <f t="shared" si="14"/>
        <v>509713.8106644713</v>
      </c>
      <c r="N50" s="2">
        <f>CEM!P136*1.1</f>
        <v>6026547.4152159356</v>
      </c>
      <c r="O50" s="46">
        <f>N50-B50</f>
        <v>441231.05056594871</v>
      </c>
      <c r="P50" s="2">
        <f>EEM!P99*1.1</f>
        <v>61646.443259638952</v>
      </c>
    </row>
    <row r="51" spans="1:21" s="45" customFormat="1">
      <c r="A51" s="44" t="s">
        <v>78</v>
      </c>
      <c r="B51" s="35">
        <f>+B49*70%</f>
        <v>443345</v>
      </c>
      <c r="C51" s="35">
        <f t="shared" ref="C51:K52" si="15">+C49*70%</f>
        <v>14000</v>
      </c>
      <c r="D51" s="35">
        <f t="shared" si="15"/>
        <v>52500</v>
      </c>
      <c r="E51" s="35">
        <f t="shared" si="15"/>
        <v>297500</v>
      </c>
      <c r="F51" s="35">
        <f t="shared" si="15"/>
        <v>35</v>
      </c>
      <c r="G51" s="35">
        <f t="shared" si="15"/>
        <v>210</v>
      </c>
      <c r="H51" s="35">
        <f t="shared" si="15"/>
        <v>28000</v>
      </c>
      <c r="I51" s="35">
        <f t="shared" si="15"/>
        <v>12600</v>
      </c>
      <c r="J51" s="35">
        <f t="shared" si="15"/>
        <v>7000</v>
      </c>
      <c r="K51" s="35">
        <f t="shared" si="15"/>
        <v>17500</v>
      </c>
      <c r="L51" s="35">
        <f t="shared" ref="L51" si="16">+L49*70%</f>
        <v>14000</v>
      </c>
      <c r="Q51" s="316"/>
      <c r="R51" s="316"/>
      <c r="S51" s="316"/>
      <c r="T51" s="316"/>
      <c r="U51" s="316"/>
    </row>
    <row r="52" spans="1:21">
      <c r="A52" s="92" t="s">
        <v>75</v>
      </c>
      <c r="B52" s="132">
        <f>SUM(C52:L52)</f>
        <v>3909721.4552549906</v>
      </c>
      <c r="C52" s="317">
        <f t="shared" si="15"/>
        <v>63385.38010242665</v>
      </c>
      <c r="D52" s="317">
        <f t="shared" si="15"/>
        <v>483648.70162261371</v>
      </c>
      <c r="E52" s="317">
        <f t="shared" si="15"/>
        <v>1305980.9969606705</v>
      </c>
      <c r="F52" s="317">
        <f t="shared" si="15"/>
        <v>7395.9519938225185</v>
      </c>
      <c r="G52" s="317">
        <f t="shared" si="15"/>
        <v>31308.400751357916</v>
      </c>
      <c r="H52" s="317">
        <f t="shared" si="15"/>
        <v>573362.45205436903</v>
      </c>
      <c r="I52" s="317">
        <f t="shared" si="15"/>
        <v>299607.10800891195</v>
      </c>
      <c r="J52" s="317">
        <f t="shared" si="15"/>
        <v>246190.96080281379</v>
      </c>
      <c r="K52" s="317">
        <f t="shared" si="15"/>
        <v>542041.8354928745</v>
      </c>
      <c r="L52" s="317">
        <f t="shared" ref="L52" si="17">+L50*70%</f>
        <v>356799.66746512987</v>
      </c>
    </row>
    <row r="53" spans="1:21" s="45" customFormat="1">
      <c r="A53" s="44" t="s">
        <v>79</v>
      </c>
      <c r="B53" s="35">
        <f>+B49*30%</f>
        <v>190005</v>
      </c>
      <c r="C53" s="35">
        <f t="shared" ref="C53:K54" si="18">+C49*30%</f>
        <v>6000</v>
      </c>
      <c r="D53" s="35">
        <f t="shared" si="18"/>
        <v>22500</v>
      </c>
      <c r="E53" s="35">
        <f t="shared" si="18"/>
        <v>127500</v>
      </c>
      <c r="F53" s="35">
        <f t="shared" si="18"/>
        <v>15</v>
      </c>
      <c r="G53" s="35">
        <f t="shared" si="18"/>
        <v>90</v>
      </c>
      <c r="H53" s="35">
        <f t="shared" si="18"/>
        <v>12000</v>
      </c>
      <c r="I53" s="35">
        <f t="shared" si="18"/>
        <v>5400</v>
      </c>
      <c r="J53" s="35">
        <f t="shared" si="18"/>
        <v>3000</v>
      </c>
      <c r="K53" s="35">
        <f t="shared" si="18"/>
        <v>7500</v>
      </c>
      <c r="L53" s="35">
        <f t="shared" ref="L53" si="19">+L49*30%</f>
        <v>6000</v>
      </c>
      <c r="Q53" s="316"/>
      <c r="R53" s="316"/>
      <c r="S53" s="316"/>
      <c r="T53" s="316"/>
      <c r="U53" s="316"/>
    </row>
    <row r="54" spans="1:21">
      <c r="A54" s="92" t="s">
        <v>76</v>
      </c>
      <c r="B54" s="132">
        <f>SUM(C54:L54)</f>
        <v>1675594.9093949958</v>
      </c>
      <c r="C54" s="317">
        <f t="shared" si="18"/>
        <v>27165.162901039996</v>
      </c>
      <c r="D54" s="317">
        <f t="shared" si="18"/>
        <v>207278.01498112018</v>
      </c>
      <c r="E54" s="317">
        <f t="shared" si="18"/>
        <v>559706.14155457309</v>
      </c>
      <c r="F54" s="317">
        <f t="shared" si="18"/>
        <v>3169.6937116382223</v>
      </c>
      <c r="G54" s="317">
        <f t="shared" si="18"/>
        <v>13417.886036296251</v>
      </c>
      <c r="H54" s="317">
        <f t="shared" si="18"/>
        <v>245726.76516615815</v>
      </c>
      <c r="I54" s="317">
        <f t="shared" si="18"/>
        <v>128403.0462895337</v>
      </c>
      <c r="J54" s="317">
        <f t="shared" si="18"/>
        <v>105510.41177263448</v>
      </c>
      <c r="K54" s="317">
        <f t="shared" si="18"/>
        <v>232303.64378266048</v>
      </c>
      <c r="L54" s="317">
        <f t="shared" ref="L54" si="20">+L50*30%</f>
        <v>152914.14319934137</v>
      </c>
    </row>
    <row r="55" spans="1:21">
      <c r="B55" s="17"/>
      <c r="H55" s="46"/>
    </row>
    <row r="56" spans="1:21" s="1" customFormat="1">
      <c r="A56" s="25"/>
      <c r="B56" s="31"/>
      <c r="C56" s="135" t="str">
        <f>+CEM!B5</f>
        <v>V0176</v>
      </c>
      <c r="D56" s="135" t="str">
        <f>+CEM!B14</f>
        <v>V0177</v>
      </c>
      <c r="E56" s="135" t="str">
        <f>+CEM!B24</f>
        <v>V0179</v>
      </c>
      <c r="F56" s="135" t="str">
        <f>+CEM!B30</f>
        <v>V0180</v>
      </c>
      <c r="G56" s="135" t="str">
        <f>+CEM!B35</f>
        <v>V0181</v>
      </c>
      <c r="H56" s="135" t="str">
        <f>+CEM!B40</f>
        <v>V0182</v>
      </c>
      <c r="I56" s="135" t="str">
        <f>+CEM!B45</f>
        <v>V0151</v>
      </c>
      <c r="J56" s="135" t="str">
        <f>+CEM!B51</f>
        <v>V0183</v>
      </c>
      <c r="K56" s="135" t="str">
        <f>+CEM!B57</f>
        <v>V0184</v>
      </c>
      <c r="L56" s="135" t="str">
        <f>+CEM!B63</f>
        <v>V0185</v>
      </c>
      <c r="M56" s="135" t="str">
        <f>+CEM!B69</f>
        <v>V0186</v>
      </c>
      <c r="N56" s="135" t="str">
        <f>+CEM!B78</f>
        <v>V0134</v>
      </c>
      <c r="O56" s="135" t="str">
        <f>+CEM!B101</f>
        <v>V0135</v>
      </c>
      <c r="Q56" s="314"/>
      <c r="R56" s="314"/>
      <c r="S56" s="314"/>
      <c r="T56" s="314"/>
      <c r="U56" s="314"/>
    </row>
    <row r="57" spans="1:21" s="27" customFormat="1">
      <c r="A57" s="26"/>
      <c r="B57" s="23"/>
      <c r="C57" s="23">
        <f>+CEM!R12</f>
        <v>6.8034855081410548</v>
      </c>
      <c r="D57" s="23">
        <f>+CEM!R17</f>
        <v>3.5298781650975997</v>
      </c>
      <c r="E57" s="23">
        <f>+CEM!R28</f>
        <v>26.15040641640898</v>
      </c>
      <c r="F57" s="23">
        <f>+CEM!R33</f>
        <v>31.24494435921347</v>
      </c>
      <c r="G57" s="23">
        <f>+CEM!R38</f>
        <v>24.613087673596532</v>
      </c>
      <c r="H57" s="23">
        <f>+CEM!R43</f>
        <v>18.847210726437311</v>
      </c>
      <c r="I57" s="23">
        <f>+CEM!R49</f>
        <v>774.60826269995653</v>
      </c>
      <c r="J57" s="23">
        <f>+CEM!R55</f>
        <v>438.75838552238963</v>
      </c>
      <c r="K57" s="23">
        <f>+CEM!R61</f>
        <v>520.93850311227732</v>
      </c>
      <c r="L57" s="23">
        <f>+CEM!R67</f>
        <v>31.049367808488725</v>
      </c>
      <c r="M57" s="23">
        <f>+CEM!R75</f>
        <v>22.96926463119792</v>
      </c>
      <c r="N57" s="23">
        <f>+CEM!R96</f>
        <v>236.00339011214618</v>
      </c>
      <c r="O57" s="23">
        <f>+CEM!R105</f>
        <v>92.112973243291165</v>
      </c>
      <c r="Q57" s="13"/>
      <c r="R57" s="13"/>
      <c r="S57" s="13"/>
      <c r="T57" s="13"/>
      <c r="U57" s="13"/>
    </row>
    <row r="58" spans="1:21" s="29" customFormat="1">
      <c r="A58" s="28"/>
      <c r="B58" s="15">
        <f>+C58+D58+E58+F58+G58+H58+I58+J58+K58+L58+M58+N58+O58</f>
        <v>218019</v>
      </c>
      <c r="C58" s="15">
        <f>+CEM!D7+CEM!D9</f>
        <v>25000</v>
      </c>
      <c r="D58" s="15">
        <f>+CEM!D17</f>
        <v>40000</v>
      </c>
      <c r="E58" s="15">
        <f>+CEM!D26</f>
        <v>10000</v>
      </c>
      <c r="F58" s="15">
        <f>+CEM!D33</f>
        <v>10000</v>
      </c>
      <c r="G58" s="15">
        <f>+CEM!D38</f>
        <v>15000</v>
      </c>
      <c r="H58" s="15">
        <f>+CEM!D43</f>
        <v>20000</v>
      </c>
      <c r="I58" s="15">
        <f>+CEM!D49</f>
        <v>3000</v>
      </c>
      <c r="J58" s="15">
        <f>+CEM!D55</f>
        <v>2000</v>
      </c>
      <c r="K58" s="15">
        <f>+CEM!D61</f>
        <v>2000</v>
      </c>
      <c r="L58" s="15">
        <f>+CEM!D67</f>
        <v>30000</v>
      </c>
      <c r="M58" s="15">
        <f>+CEM!D75</f>
        <v>60000</v>
      </c>
      <c r="N58" s="15">
        <f>+CEM!D96</f>
        <v>818</v>
      </c>
      <c r="O58" s="15">
        <f>+CEM!D105</f>
        <v>201</v>
      </c>
      <c r="Q58" s="38"/>
      <c r="R58" s="38"/>
      <c r="S58" s="38"/>
      <c r="T58" s="38"/>
      <c r="U58" s="38"/>
    </row>
    <row r="59" spans="1:21">
      <c r="A59" s="92" t="s">
        <v>80</v>
      </c>
      <c r="B59" s="132">
        <f>SUM(C59:O59)</f>
        <v>8395797.2599257268</v>
      </c>
      <c r="C59" s="132">
        <f t="shared" ref="C59:H59" si="21">+C57*C58</f>
        <v>170087.13770352636</v>
      </c>
      <c r="D59" s="132">
        <f t="shared" si="21"/>
        <v>141195.12660390398</v>
      </c>
      <c r="E59" s="132">
        <f t="shared" si="21"/>
        <v>261504.0641640898</v>
      </c>
      <c r="F59" s="132">
        <f t="shared" si="21"/>
        <v>312449.44359213469</v>
      </c>
      <c r="G59" s="132">
        <f t="shared" si="21"/>
        <v>369196.315103948</v>
      </c>
      <c r="H59" s="132">
        <f t="shared" si="21"/>
        <v>376944.2145287462</v>
      </c>
      <c r="I59" s="132">
        <f>+I57*I58</f>
        <v>2323824.7880998696</v>
      </c>
      <c r="J59" s="132">
        <f>J58*J57</f>
        <v>877516.77104477922</v>
      </c>
      <c r="K59" s="132">
        <f t="shared" ref="K59:M59" si="22">+K57*K58</f>
        <v>1041877.0062245546</v>
      </c>
      <c r="L59" s="132">
        <f t="shared" si="22"/>
        <v>931481.03425466176</v>
      </c>
      <c r="M59" s="132">
        <f t="shared" si="22"/>
        <v>1378155.8778718752</v>
      </c>
      <c r="N59" s="132">
        <f t="shared" ref="N59" si="23">+N57*N58</f>
        <v>193050.77311173559</v>
      </c>
      <c r="O59" s="132">
        <f t="shared" ref="O59" si="24">+O57*O58</f>
        <v>18514.707621901525</v>
      </c>
      <c r="Q59" s="13"/>
      <c r="R59" s="13"/>
      <c r="S59" s="13"/>
      <c r="T59" s="13"/>
      <c r="U59" s="13"/>
    </row>
    <row r="61" spans="1:21" s="1" customFormat="1">
      <c r="A61" s="25"/>
      <c r="B61" s="31"/>
      <c r="C61" s="135" t="str">
        <f>+CEM!B119</f>
        <v>V0139</v>
      </c>
      <c r="D61" s="135" t="str">
        <f>+CEM!B5</f>
        <v>V0176</v>
      </c>
      <c r="E61" s="135" t="str">
        <f>+CEM!B19</f>
        <v>V0178</v>
      </c>
      <c r="F61" s="135" t="str">
        <f>+CEM!B24</f>
        <v>V0179</v>
      </c>
      <c r="G61" s="32"/>
      <c r="H61" s="32"/>
      <c r="Q61" s="314"/>
      <c r="R61" s="314"/>
      <c r="S61" s="314"/>
      <c r="T61" s="314"/>
      <c r="U61" s="314"/>
    </row>
    <row r="62" spans="1:21">
      <c r="A62" s="4"/>
      <c r="B62" s="22"/>
      <c r="C62" s="23">
        <f>+CEM!R123</f>
        <v>65.412479138496522</v>
      </c>
      <c r="D62" s="23">
        <f>+CEM!R12</f>
        <v>6.8034855081410548</v>
      </c>
      <c r="E62" s="23">
        <f>+CEM!R22</f>
        <v>17.545119392389847</v>
      </c>
      <c r="F62" s="23">
        <f>+CEM!R28</f>
        <v>26.15040641640898</v>
      </c>
      <c r="G62" s="21"/>
      <c r="H62" s="21"/>
    </row>
    <row r="63" spans="1:21" s="29" customFormat="1">
      <c r="A63" s="28"/>
      <c r="B63" s="15">
        <f>+C63+D63+E63+F63</f>
        <v>58050</v>
      </c>
      <c r="C63" s="15">
        <f>+CEM!D123</f>
        <v>50</v>
      </c>
      <c r="D63" s="15">
        <f>+CEM!D10+CEM!D11</f>
        <v>40000</v>
      </c>
      <c r="E63" s="15">
        <f>+CEM!D22</f>
        <v>10000</v>
      </c>
      <c r="F63" s="15">
        <f>+CEM!D27</f>
        <v>8000</v>
      </c>
      <c r="G63" s="37"/>
      <c r="H63" s="37"/>
      <c r="Q63" s="38"/>
      <c r="R63" s="38"/>
      <c r="S63" s="38"/>
      <c r="T63" s="38"/>
      <c r="U63" s="38"/>
    </row>
    <row r="64" spans="1:21">
      <c r="A64" s="92" t="s">
        <v>81</v>
      </c>
      <c r="B64" s="132">
        <f>+C64+D64+E64+F64</f>
        <v>660064.48953773733</v>
      </c>
      <c r="C64" s="132">
        <f>+C63*C62</f>
        <v>3270.623956924826</v>
      </c>
      <c r="D64" s="132">
        <f t="shared" ref="D64:F64" si="25">+D63*D62</f>
        <v>272139.42032564222</v>
      </c>
      <c r="E64" s="132">
        <f t="shared" si="25"/>
        <v>175451.19392389848</v>
      </c>
      <c r="F64" s="132">
        <f t="shared" si="25"/>
        <v>209203.25133127184</v>
      </c>
      <c r="G64" s="21"/>
      <c r="H64" s="21"/>
      <c r="O64" s="46">
        <f>B59+B64</f>
        <v>9055861.7494634651</v>
      </c>
      <c r="P64" s="2">
        <f>CEM!P137*1.03</f>
        <v>9074862.396687869</v>
      </c>
      <c r="Q64" s="330">
        <f>O64-P64</f>
        <v>-19000.647224403918</v>
      </c>
    </row>
    <row r="66" spans="1:21" s="1" customFormat="1">
      <c r="A66" s="25"/>
      <c r="B66" s="25"/>
      <c r="C66" s="135" t="str">
        <f>+MDC!B5</f>
        <v>V0188</v>
      </c>
      <c r="D66" s="135" t="str">
        <f>+MDC!B20</f>
        <v>V0189</v>
      </c>
      <c r="E66" s="135" t="str">
        <f>+MDC!B27</f>
        <v>V0190</v>
      </c>
      <c r="F66" s="135" t="str">
        <f>+MDC!B33</f>
        <v>V0191</v>
      </c>
      <c r="G66" s="135" t="str">
        <f>+MDC!B40</f>
        <v>V0192</v>
      </c>
      <c r="H66" s="135" t="str">
        <f>+MDC!B46</f>
        <v>V0193</v>
      </c>
      <c r="I66" s="135" t="str">
        <f>+MDC!B53</f>
        <v>V0143</v>
      </c>
      <c r="J66" s="135" t="str">
        <f>+MDC!B59</f>
        <v>V0144</v>
      </c>
      <c r="K66" s="135" t="str">
        <f>+MDC!B65</f>
        <v>V0145</v>
      </c>
      <c r="L66" s="135" t="str">
        <f>+MDC!B79</f>
        <v>V0147</v>
      </c>
      <c r="M66" s="135" t="str">
        <f>+MDC!B85</f>
        <v>V0148</v>
      </c>
      <c r="N66" s="135" t="str">
        <f>+MDC!B91</f>
        <v>V0149</v>
      </c>
      <c r="Q66" s="314"/>
      <c r="R66" s="314"/>
      <c r="S66" s="314"/>
      <c r="T66" s="314"/>
      <c r="U66" s="314"/>
    </row>
    <row r="67" spans="1:21" s="27" customFormat="1">
      <c r="A67" s="26"/>
      <c r="B67" s="23"/>
      <c r="C67" s="23">
        <f>+MDC!R18</f>
        <v>4.1532990462616164</v>
      </c>
      <c r="D67" s="23">
        <f>+MDC!R25</f>
        <v>7.4166249055070192</v>
      </c>
      <c r="E67" s="23">
        <f>+MDC!R31</f>
        <v>12.978082314515161</v>
      </c>
      <c r="F67" s="23">
        <f>+MDC!R38</f>
        <v>20.600624310508582</v>
      </c>
      <c r="G67" s="23">
        <f>+MDC!R44</f>
        <v>12.378843575579559</v>
      </c>
      <c r="H67" s="23">
        <f>+MDC!R50</f>
        <v>7.9769993372471957</v>
      </c>
      <c r="I67" s="23">
        <f>+MDC!R57</f>
        <v>129.42600957833966</v>
      </c>
      <c r="J67" s="23">
        <f>+MDC!R63</f>
        <v>15.159734746823295</v>
      </c>
      <c r="K67" s="23">
        <f>+MDC!R69</f>
        <v>7.4590725449650863</v>
      </c>
      <c r="L67" s="23">
        <f>+MDC!R83</f>
        <v>249.77906394252577</v>
      </c>
      <c r="M67" s="23">
        <f>+MDC!R89</f>
        <v>13.739435869791912</v>
      </c>
      <c r="N67" s="23">
        <f>+MDC!R95</f>
        <v>16.024201663818982</v>
      </c>
      <c r="Q67" s="13"/>
      <c r="R67" s="13"/>
      <c r="S67" s="13"/>
      <c r="T67" s="13"/>
      <c r="U67" s="13"/>
    </row>
    <row r="68" spans="1:21" s="10" customFormat="1">
      <c r="A68" s="42"/>
      <c r="B68" s="15">
        <f t="shared" ref="B68:B75" si="26">+C68+D68+E68+F68+G68+H68+I68+J68+K68+L68+M68+N68</f>
        <v>439650</v>
      </c>
      <c r="C68" s="15">
        <f>+C70+C72+C74</f>
        <v>216000</v>
      </c>
      <c r="D68" s="15">
        <f t="shared" ref="D68:N68" si="27">+D70+D72+D74</f>
        <v>30000</v>
      </c>
      <c r="E68" s="15">
        <f t="shared" si="27"/>
        <v>15000</v>
      </c>
      <c r="F68" s="15">
        <f t="shared" si="27"/>
        <v>30000</v>
      </c>
      <c r="G68" s="15">
        <f t="shared" si="27"/>
        <v>25000</v>
      </c>
      <c r="H68" s="15">
        <f t="shared" si="27"/>
        <v>35000</v>
      </c>
      <c r="I68" s="15">
        <f t="shared" si="27"/>
        <v>300</v>
      </c>
      <c r="J68" s="15">
        <f t="shared" si="27"/>
        <v>300</v>
      </c>
      <c r="K68" s="15">
        <f t="shared" si="27"/>
        <v>25000</v>
      </c>
      <c r="L68" s="15">
        <f t="shared" si="27"/>
        <v>50</v>
      </c>
      <c r="M68" s="15">
        <f t="shared" si="27"/>
        <v>35000</v>
      </c>
      <c r="N68" s="15">
        <f t="shared" si="27"/>
        <v>28000</v>
      </c>
      <c r="Q68" s="9"/>
      <c r="R68" s="9"/>
      <c r="S68" s="9"/>
      <c r="T68" s="9"/>
      <c r="U68" s="9"/>
    </row>
    <row r="69" spans="1:21">
      <c r="A69" s="4" t="s">
        <v>85</v>
      </c>
      <c r="B69" s="15">
        <f t="shared" si="26"/>
        <v>3692866.7635322968</v>
      </c>
      <c r="C69" s="23">
        <f>+C71+C73+C75</f>
        <v>897112.59399250906</v>
      </c>
      <c r="D69" s="23">
        <f t="shared" ref="D69:N69" si="28">+D71+D73+D75</f>
        <v>222498.74716521057</v>
      </c>
      <c r="E69" s="23">
        <f t="shared" si="28"/>
        <v>194671.23471772741</v>
      </c>
      <c r="F69" s="23">
        <f t="shared" si="28"/>
        <v>618018.72931525751</v>
      </c>
      <c r="G69" s="23">
        <f t="shared" si="28"/>
        <v>309471.08938948897</v>
      </c>
      <c r="H69" s="23">
        <f t="shared" si="28"/>
        <v>279194.97680365184</v>
      </c>
      <c r="I69" s="23">
        <f t="shared" si="28"/>
        <v>38827.802873501896</v>
      </c>
      <c r="J69" s="23">
        <f t="shared" si="28"/>
        <v>4547.920424046989</v>
      </c>
      <c r="K69" s="23">
        <f t="shared" si="28"/>
        <v>186476.81362412716</v>
      </c>
      <c r="L69" s="23">
        <f t="shared" si="28"/>
        <v>12488.953197126288</v>
      </c>
      <c r="M69" s="23">
        <f t="shared" si="28"/>
        <v>480880.25544271688</v>
      </c>
      <c r="N69" s="23">
        <f t="shared" si="28"/>
        <v>448677.64658693149</v>
      </c>
      <c r="P69" s="2">
        <f>CEM!P138*1.1</f>
        <v>3943838.2911509965</v>
      </c>
    </row>
    <row r="70" spans="1:21" s="29" customFormat="1">
      <c r="A70" s="28"/>
      <c r="B70" s="15">
        <f t="shared" si="26"/>
        <v>291650</v>
      </c>
      <c r="C70" s="15">
        <f>+MDC!D7+MDC!D8+MDC!D9+MDC!D13+MDC!D14+MDC!D15</f>
        <v>128000</v>
      </c>
      <c r="D70" s="15">
        <f>+MDC!D25</f>
        <v>30000</v>
      </c>
      <c r="E70" s="15">
        <f>+MDC!D31</f>
        <v>15000</v>
      </c>
      <c r="F70" s="15">
        <f>+MDC!D38</f>
        <v>30000</v>
      </c>
      <c r="G70" s="15"/>
      <c r="H70" s="15">
        <f>+MDC!D50</f>
        <v>35000</v>
      </c>
      <c r="I70" s="15">
        <f>+MDC!D57</f>
        <v>300</v>
      </c>
      <c r="J70" s="15">
        <f>+MDC!D63</f>
        <v>300</v>
      </c>
      <c r="K70" s="15">
        <f>+MDC!D69</f>
        <v>25000</v>
      </c>
      <c r="L70" s="15">
        <f>+MDC!D83</f>
        <v>50</v>
      </c>
      <c r="M70" s="15"/>
      <c r="N70" s="15">
        <f>+MDC!D95</f>
        <v>28000</v>
      </c>
      <c r="Q70" s="38"/>
      <c r="R70" s="38"/>
      <c r="S70" s="38"/>
      <c r="T70" s="38"/>
      <c r="U70" s="38"/>
    </row>
    <row r="71" spans="1:21">
      <c r="A71" s="92" t="s">
        <v>82</v>
      </c>
      <c r="B71" s="132">
        <f t="shared" si="26"/>
        <v>2537025.1026290678</v>
      </c>
      <c r="C71" s="132">
        <f>+C70*C67</f>
        <v>531622.27792148688</v>
      </c>
      <c r="D71" s="132">
        <f>+D70*D67</f>
        <v>222498.74716521057</v>
      </c>
      <c r="E71" s="132">
        <f>+E70*E67</f>
        <v>194671.23471772741</v>
      </c>
      <c r="F71" s="132">
        <f>+F70*F67</f>
        <v>618018.72931525751</v>
      </c>
      <c r="G71" s="132"/>
      <c r="H71" s="132">
        <f>+H70*H67</f>
        <v>279194.97680365184</v>
      </c>
      <c r="I71" s="132">
        <f>+I70*I67</f>
        <v>38827.802873501896</v>
      </c>
      <c r="J71" s="132">
        <f>+J70*J67</f>
        <v>4547.920424046989</v>
      </c>
      <c r="K71" s="132">
        <f>+K70*K67</f>
        <v>186476.81362412716</v>
      </c>
      <c r="L71" s="132">
        <f t="shared" ref="L71:N71" si="29">+L70*L67</f>
        <v>12488.953197126288</v>
      </c>
      <c r="M71" s="132">
        <f t="shared" si="29"/>
        <v>0</v>
      </c>
      <c r="N71" s="132">
        <f t="shared" si="29"/>
        <v>448677.64658693149</v>
      </c>
    </row>
    <row r="72" spans="1:21" s="29" customFormat="1">
      <c r="A72" s="28"/>
      <c r="B72" s="15">
        <f t="shared" si="26"/>
        <v>38000</v>
      </c>
      <c r="C72" s="15">
        <f>+MDC!D11+MDC!D12</f>
        <v>38000</v>
      </c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Q72" s="38"/>
      <c r="R72" s="38"/>
      <c r="S72" s="38"/>
      <c r="T72" s="38"/>
      <c r="U72" s="38"/>
    </row>
    <row r="73" spans="1:21">
      <c r="A73" s="92" t="s">
        <v>83</v>
      </c>
      <c r="B73" s="132">
        <f t="shared" si="26"/>
        <v>157825.36375794144</v>
      </c>
      <c r="C73" s="132">
        <f>+C72*C67</f>
        <v>157825.36375794144</v>
      </c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</row>
    <row r="74" spans="1:21" s="29" customFormat="1">
      <c r="A74" s="28"/>
      <c r="B74" s="15">
        <f t="shared" si="26"/>
        <v>110000</v>
      </c>
      <c r="C74" s="15">
        <f>+MDC!D10+MDC!D16</f>
        <v>50000</v>
      </c>
      <c r="D74" s="15"/>
      <c r="E74" s="15"/>
      <c r="F74" s="15"/>
      <c r="G74" s="15">
        <f>+MDC!D44</f>
        <v>25000</v>
      </c>
      <c r="H74" s="15"/>
      <c r="I74" s="15"/>
      <c r="J74" s="15"/>
      <c r="K74" s="15"/>
      <c r="L74" s="15"/>
      <c r="M74" s="15">
        <f>+MDC!D89</f>
        <v>35000</v>
      </c>
      <c r="N74" s="15"/>
      <c r="Q74" s="38"/>
      <c r="R74" s="38"/>
      <c r="S74" s="38"/>
      <c r="T74" s="38"/>
      <c r="U74" s="38"/>
    </row>
    <row r="75" spans="1:21">
      <c r="A75" s="92" t="s">
        <v>84</v>
      </c>
      <c r="B75" s="132">
        <f t="shared" si="26"/>
        <v>998016.29714528669</v>
      </c>
      <c r="C75" s="132">
        <f>+C74*C67</f>
        <v>207664.95231308081</v>
      </c>
      <c r="D75" s="132"/>
      <c r="E75" s="132"/>
      <c r="F75" s="132"/>
      <c r="G75" s="132">
        <f>+G74*G67</f>
        <v>309471.08938948897</v>
      </c>
      <c r="H75" s="132"/>
      <c r="I75" s="132"/>
      <c r="J75" s="132"/>
      <c r="K75" s="132"/>
      <c r="L75" s="132"/>
      <c r="M75" s="132">
        <f>+M74*M67</f>
        <v>480880.25544271688</v>
      </c>
      <c r="N75" s="132"/>
    </row>
    <row r="76" spans="1:21" s="18" customFormat="1" ht="12" thickBot="1">
      <c r="A76" s="89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Q76" s="41"/>
      <c r="R76" s="41"/>
      <c r="S76" s="41"/>
      <c r="T76" s="41"/>
      <c r="U76" s="41"/>
    </row>
    <row r="77" spans="1:21">
      <c r="A77" s="47" t="s">
        <v>86</v>
      </c>
      <c r="B77" s="48">
        <f>+B6+B19+B24+B29+B34+B50+B59+B64+B39</f>
        <v>21674268.538582642</v>
      </c>
      <c r="C77" s="48">
        <f>+B5+B18+B23+B28+B33+B38+B49+B63+B58</f>
        <v>1670219</v>
      </c>
      <c r="D77" s="2">
        <f>CEM!D144</f>
        <v>1670219</v>
      </c>
      <c r="E77" s="46">
        <f>C77-D77</f>
        <v>0</v>
      </c>
    </row>
    <row r="78" spans="1:21">
      <c r="A78" s="49" t="s">
        <v>87</v>
      </c>
      <c r="B78" s="50">
        <f>+B71+B73+B75</f>
        <v>3692866.7635322958</v>
      </c>
      <c r="C78" s="2">
        <f>CEM!D138</f>
        <v>439650</v>
      </c>
      <c r="D78" s="17">
        <f>+B68</f>
        <v>439650</v>
      </c>
      <c r="E78" s="17">
        <f>C78-D78</f>
        <v>0</v>
      </c>
    </row>
    <row r="79" spans="1:21">
      <c r="A79" s="49"/>
      <c r="B79" s="50">
        <v>0</v>
      </c>
    </row>
    <row r="80" spans="1:21" ht="12" thickBot="1">
      <c r="A80" s="51" t="s">
        <v>88</v>
      </c>
      <c r="B80" s="52">
        <f>SUM(B77:B79)</f>
        <v>25367135.302114937</v>
      </c>
      <c r="D80" s="2">
        <f>CEM!P140*1.03</f>
        <v>25460752.085295036</v>
      </c>
      <c r="E80" s="90">
        <f>D80-B80</f>
        <v>93616.783180098981</v>
      </c>
    </row>
    <row r="82" spans="2:3">
      <c r="B82" s="27"/>
      <c r="C82" s="27"/>
    </row>
    <row r="83" spans="2:3">
      <c r="B83" s="27"/>
    </row>
    <row r="84" spans="2:3">
      <c r="B84" s="27"/>
    </row>
  </sheetData>
  <phoneticPr fontId="0" type="noConversion"/>
  <pageMargins left="0" right="0" top="0" bottom="0" header="0" footer="0"/>
  <pageSetup paperSize="8" scale="6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0"/>
  <dimension ref="A1:B13"/>
  <sheetViews>
    <sheetView workbookViewId="0">
      <selection activeCell="A4" sqref="A4"/>
    </sheetView>
  </sheetViews>
  <sheetFormatPr defaultColWidth="9.140625" defaultRowHeight="11.25"/>
  <cols>
    <col min="1" max="1" width="20.28515625" style="2" bestFit="1" customWidth="1"/>
    <col min="2" max="16384" width="9.140625" style="2"/>
  </cols>
  <sheetData>
    <row r="1" spans="1:2">
      <c r="A1" s="1" t="s">
        <v>260</v>
      </c>
    </row>
    <row r="2" spans="1:2">
      <c r="A2" s="85">
        <v>0.03</v>
      </c>
    </row>
    <row r="3" spans="1:2">
      <c r="A3" s="85"/>
    </row>
    <row r="4" spans="1:2">
      <c r="A4" s="27">
        <v>5</v>
      </c>
    </row>
    <row r="6" spans="1:2">
      <c r="A6" s="27">
        <v>692568.67</v>
      </c>
    </row>
    <row r="8" spans="1:2">
      <c r="A8" s="86">
        <f>+CEM!N140</f>
        <v>18937550.428208672</v>
      </c>
    </row>
    <row r="9" spans="1:2">
      <c r="A9" s="91"/>
    </row>
    <row r="10" spans="1:2">
      <c r="A10" s="91"/>
      <c r="B10" s="84"/>
    </row>
    <row r="11" spans="1:2">
      <c r="A11" s="91"/>
    </row>
    <row r="12" spans="1:2">
      <c r="A12" s="18"/>
    </row>
    <row r="13" spans="1:2">
      <c r="A13" s="18"/>
    </row>
  </sheetData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7</vt:i4>
      </vt:variant>
    </vt:vector>
  </HeadingPairs>
  <TitlesOfParts>
    <vt:vector size="19" baseType="lpstr">
      <vt:lpstr>MM</vt:lpstr>
      <vt:lpstr>finance</vt:lpstr>
      <vt:lpstr>workshop</vt:lpstr>
      <vt:lpstr>COMMUNITY SERV</vt:lpstr>
      <vt:lpstr>EEM</vt:lpstr>
      <vt:lpstr>CEM</vt:lpstr>
      <vt:lpstr>MDC</vt:lpstr>
      <vt:lpstr>BUDGET</vt:lpstr>
      <vt:lpstr>CALC</vt:lpstr>
      <vt:lpstr>1-10</vt:lpstr>
      <vt:lpstr>new veh 2012</vt:lpstr>
      <vt:lpstr>Sheet1</vt:lpstr>
      <vt:lpstr>CEM!Print_Area</vt:lpstr>
      <vt:lpstr>'COMMUNITY SERV'!Print_Area</vt:lpstr>
      <vt:lpstr>EEM!Print_Area</vt:lpstr>
      <vt:lpstr>finance!Print_Area</vt:lpstr>
      <vt:lpstr>MDC!Print_Area</vt:lpstr>
      <vt:lpstr>MM!Print_Area</vt:lpstr>
      <vt:lpstr>workshop!Print_Area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Lydia</dc:creator>
  <cp:lastModifiedBy>JohanB</cp:lastModifiedBy>
  <cp:lastPrinted>2012-03-12T12:25:50Z</cp:lastPrinted>
  <dcterms:created xsi:type="dcterms:W3CDTF">2005-10-06T12:29:26Z</dcterms:created>
  <dcterms:modified xsi:type="dcterms:W3CDTF">2012-05-31T09:13:30Z</dcterms:modified>
</cp:coreProperties>
</file>